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bmradakovic\Downloads\Pipe Data Sheet\"/>
    </mc:Choice>
  </mc:AlternateContent>
  <xr:revisionPtr revIDLastSave="0" documentId="8_{DABDB8D6-4C3C-4DA0-AC14-7FD995B73232}" xr6:coauthVersionLast="47" xr6:coauthVersionMax="47" xr10:uidLastSave="{00000000-0000-0000-0000-000000000000}"/>
  <bookViews>
    <workbookView xWindow="-120" yWindow="-120" windowWidth="29040" windowHeight="17640" tabRatio="647"/>
  </bookViews>
  <sheets>
    <sheet name="PIPE DATA SHEET" sheetId="1" r:id="rId1"/>
    <sheet name="HYDROLOGY" sheetId="7" r:id="rId2"/>
    <sheet name="Pipe Data Table" sheetId="4" r:id="rId3"/>
    <sheet name="Tc" sheetId="5" r:id="rId4"/>
    <sheet name="Pre &amp; Post For RR" sheetId="3" r:id="rId5"/>
  </sheets>
  <definedNames>
    <definedName name="L">Tc!$E$10</definedName>
    <definedName name="MANNINGS" localSheetId="1">#REF!</definedName>
    <definedName name="MANNINGS">#REF!</definedName>
    <definedName name="n">Tc!$E$9</definedName>
    <definedName name="p">Tc!$E$11</definedName>
    <definedName name="_xlnm.Print_Area" localSheetId="1">HYDROLOGY!$B$1:$M$41</definedName>
    <definedName name="_xlnm.Print_Area" localSheetId="0">'PIPE DATA SHEET'!$B$1:$U$38</definedName>
    <definedName name="_xlnm.Print_Area" localSheetId="4">'Pre &amp; Post For RR'!$B$3:$L$45</definedName>
    <definedName name="s">Tc!$E$12</definedName>
    <definedName name="solver_adj" localSheetId="0" hidden="1">'PIPE DATA SHEET'!$E$24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'PIPE DATA SHEET'!$W$24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BLE">'Pipe Data Table'!$C$5:$G$28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5" i="1" l="1"/>
  <c r="X25" i="1"/>
  <c r="Y25" i="1"/>
  <c r="Z25" i="1"/>
  <c r="J25" i="1"/>
  <c r="M25" i="1"/>
  <c r="N25" i="1"/>
  <c r="O25" i="1"/>
  <c r="P25" i="1"/>
  <c r="Q25" i="1"/>
  <c r="R25" i="1"/>
  <c r="S25" i="1"/>
  <c r="U25" i="1"/>
  <c r="C1" i="7"/>
  <c r="C2" i="7"/>
  <c r="C3" i="7"/>
  <c r="C4" i="7"/>
  <c r="E18" i="7"/>
  <c r="F18" i="7"/>
  <c r="E19" i="7"/>
  <c r="F19" i="7"/>
  <c r="E20" i="7"/>
  <c r="F20" i="7"/>
  <c r="E21" i="7"/>
  <c r="F21" i="7" s="1"/>
  <c r="E22" i="7"/>
  <c r="F22" i="7"/>
  <c r="E23" i="7"/>
  <c r="F23" i="7"/>
  <c r="E24" i="7"/>
  <c r="F24" i="7"/>
  <c r="F29" i="7"/>
  <c r="F31" i="7" s="1"/>
  <c r="F30" i="7"/>
  <c r="D31" i="7"/>
  <c r="D34" i="7"/>
  <c r="D35" i="7"/>
  <c r="D36" i="7"/>
  <c r="D37" i="7"/>
  <c r="M14" i="1"/>
  <c r="J22" i="1"/>
  <c r="M22" i="1"/>
  <c r="N22" i="1"/>
  <c r="O22" i="1"/>
  <c r="P22" i="1"/>
  <c r="Q22" i="1"/>
  <c r="R22" i="1"/>
  <c r="S22" i="1"/>
  <c r="U22" i="1"/>
  <c r="V22" i="1"/>
  <c r="W22" i="1"/>
  <c r="X22" i="1"/>
  <c r="Y22" i="1"/>
  <c r="Z22" i="1"/>
  <c r="J24" i="1"/>
  <c r="M24" i="1"/>
  <c r="N24" i="1"/>
  <c r="O24" i="1" s="1"/>
  <c r="P24" i="1"/>
  <c r="Q24" i="1"/>
  <c r="R24" i="1"/>
  <c r="S24" i="1"/>
  <c r="U24" i="1"/>
  <c r="V24" i="1"/>
  <c r="W24" i="1"/>
  <c r="X24" i="1"/>
  <c r="Y24" i="1"/>
  <c r="Z24" i="1"/>
  <c r="D5" i="4"/>
  <c r="E5" i="4"/>
  <c r="G5" i="4" s="1"/>
  <c r="F5" i="4"/>
  <c r="D6" i="4"/>
  <c r="E6" i="4" s="1"/>
  <c r="F6" i="4" s="1"/>
  <c r="D7" i="4"/>
  <c r="E7" i="4"/>
  <c r="F7" i="4"/>
  <c r="G7" i="4"/>
  <c r="D8" i="4"/>
  <c r="E8" i="4" s="1"/>
  <c r="D9" i="4"/>
  <c r="E9" i="4"/>
  <c r="F9" i="4"/>
  <c r="G9" i="4"/>
  <c r="D10" i="4"/>
  <c r="E10" i="4" s="1"/>
  <c r="D11" i="4"/>
  <c r="G11" i="4" s="1"/>
  <c r="D12" i="4"/>
  <c r="F12" i="4" s="1"/>
  <c r="D13" i="4"/>
  <c r="D14" i="4"/>
  <c r="F14" i="4" s="1"/>
  <c r="E14" i="4"/>
  <c r="D15" i="4"/>
  <c r="D16" i="4"/>
  <c r="E16" i="4"/>
  <c r="F16" i="4" s="1"/>
  <c r="D17" i="4"/>
  <c r="F17" i="4" s="1"/>
  <c r="E17" i="4"/>
  <c r="G17" i="4" s="1"/>
  <c r="D18" i="4"/>
  <c r="E18" i="4"/>
  <c r="G18" i="4" s="1"/>
  <c r="F18" i="4"/>
  <c r="D19" i="4"/>
  <c r="E19" i="4"/>
  <c r="F19" i="4"/>
  <c r="D20" i="4"/>
  <c r="E20" i="4" s="1"/>
  <c r="D21" i="4"/>
  <c r="E21" i="4"/>
  <c r="F21" i="4"/>
  <c r="G21" i="4"/>
  <c r="D22" i="4"/>
  <c r="E22" i="4" s="1"/>
  <c r="F22" i="4" s="1"/>
  <c r="D23" i="4"/>
  <c r="E23" i="4" s="1"/>
  <c r="D24" i="4"/>
  <c r="E24" i="4"/>
  <c r="D25" i="4"/>
  <c r="E25" i="4" s="1"/>
  <c r="F25" i="4" s="1"/>
  <c r="D26" i="4"/>
  <c r="E26" i="4"/>
  <c r="F26" i="4" s="1"/>
  <c r="D27" i="4"/>
  <c r="E27" i="4"/>
  <c r="G27" i="4" s="1"/>
  <c r="F27" i="4"/>
  <c r="D28" i="4"/>
  <c r="G28" i="4" s="1"/>
  <c r="E28" i="4"/>
  <c r="F28" i="4"/>
  <c r="C15" i="5"/>
  <c r="C16" i="5"/>
  <c r="K22" i="5"/>
  <c r="I24" i="5"/>
  <c r="K24" i="5" s="1"/>
  <c r="I25" i="5"/>
  <c r="K25" i="5"/>
  <c r="L28" i="5"/>
  <c r="F24" i="4"/>
  <c r="E12" i="4"/>
  <c r="G12" i="4"/>
  <c r="E11" i="4"/>
  <c r="F11" i="4" s="1"/>
  <c r="F20" i="4" l="1"/>
  <c r="G20" i="4"/>
  <c r="G23" i="4"/>
  <c r="F23" i="4"/>
  <c r="F15" i="4"/>
  <c r="E13" i="4"/>
  <c r="G13" i="4" s="1"/>
  <c r="G8" i="4"/>
  <c r="E15" i="4"/>
  <c r="F10" i="4"/>
  <c r="F8" i="4"/>
  <c r="G25" i="4"/>
  <c r="G15" i="4"/>
  <c r="F13" i="4" l="1"/>
</calcChain>
</file>

<file path=xl/comments1.xml><?xml version="1.0" encoding="utf-8"?>
<comments xmlns="http://schemas.openxmlformats.org/spreadsheetml/2006/main">
  <authors>
    <author>bzerman</author>
  </authors>
  <commentList>
    <comment ref="T19" authorId="0" shapeId="0">
      <text>
        <r>
          <rPr>
            <b/>
            <sz val="12"/>
            <color indexed="81"/>
            <rFont val="Tahoma"/>
            <family val="2"/>
          </rPr>
          <t>For V10 use Vurban  for partial depth vel.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12"/>
            <color indexed="81"/>
            <rFont val="Tahoma"/>
            <family val="2"/>
          </rPr>
          <t>See HDS-5 charts beginning on pg.225</t>
        </r>
      </text>
    </comment>
    <comment ref="L20" authorId="0" shapeId="0">
      <text>
        <r>
          <rPr>
            <b/>
            <sz val="12"/>
            <color indexed="81"/>
            <rFont val="Tahoma"/>
            <family val="2"/>
          </rPr>
          <t>See HDS-5 pg.23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0" authorId="0" shapeId="0">
      <text>
        <r>
          <rPr>
            <b/>
            <sz val="12"/>
            <color indexed="81"/>
            <rFont val="Tahoma"/>
            <family val="2"/>
          </rPr>
          <t>See HDS-5 charts pg.231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<sst xmlns="http://schemas.openxmlformats.org/spreadsheetml/2006/main" count="283" uniqueCount="186">
  <si>
    <t xml:space="preserve">            PIPE  DATA  SHEET</t>
  </si>
  <si>
    <t>Date:</t>
  </si>
  <si>
    <t xml:space="preserve">Sheet </t>
  </si>
  <si>
    <t>of</t>
  </si>
  <si>
    <t>Project Number:</t>
  </si>
  <si>
    <t>I.D. No.:</t>
  </si>
  <si>
    <t>County:</t>
  </si>
  <si>
    <t>ft</t>
  </si>
  <si>
    <t>Plan Summary Data</t>
  </si>
  <si>
    <t>Shoulder</t>
  </si>
  <si>
    <t>Drainage Area:</t>
  </si>
  <si>
    <t>Elev.:</t>
  </si>
  <si>
    <t>Design Freq.:</t>
  </si>
  <si>
    <t xml:space="preserve"> </t>
  </si>
  <si>
    <t>Station:</t>
  </si>
  <si>
    <t>Design Disch.:</t>
  </si>
  <si>
    <t>Skew:</t>
  </si>
  <si>
    <t>Design H.W. Elev.:</t>
  </si>
  <si>
    <t>Size/Type Pipe:</t>
  </si>
  <si>
    <t>H</t>
  </si>
  <si>
    <t>Type Enterence:</t>
  </si>
  <si>
    <t>H.W.</t>
  </si>
  <si>
    <t>Q100 Elev.:</t>
  </si>
  <si>
    <t>Direction of Flow:</t>
  </si>
  <si>
    <r>
      <t>LS</t>
    </r>
    <r>
      <rPr>
        <vertAlign val="subscript"/>
        <sz val="10"/>
        <rFont val="Arial"/>
        <family val="2"/>
      </rPr>
      <t>o</t>
    </r>
  </si>
  <si>
    <t>Overtopping Freq.:</t>
  </si>
  <si>
    <t>Hydrological Method:</t>
  </si>
  <si>
    <t>Inlet</t>
  </si>
  <si>
    <t xml:space="preserve">   So=</t>
  </si>
  <si>
    <t>Overtopping Disch.:</t>
  </si>
  <si>
    <t>H.W. Control Elevation:</t>
  </si>
  <si>
    <t xml:space="preserve"> Invert Elev.:</t>
  </si>
  <si>
    <t xml:space="preserve">     L=</t>
  </si>
  <si>
    <t>Outlet Inv. Elev.</t>
  </si>
  <si>
    <t>Overtopping Elev.:</t>
  </si>
  <si>
    <t>Slope:</t>
  </si>
  <si>
    <t>n=</t>
  </si>
  <si>
    <t>TW</t>
  </si>
  <si>
    <t>Q</t>
  </si>
  <si>
    <t>Nat.</t>
  </si>
  <si>
    <t>Allow.</t>
  </si>
  <si>
    <t xml:space="preserve">      Inlet Control</t>
  </si>
  <si>
    <t xml:space="preserve">     HW</t>
  </si>
  <si>
    <t>Remarks</t>
  </si>
  <si>
    <t>HYDRAULIC  PROPERTIES-CIRCULAR  PIPE</t>
  </si>
  <si>
    <t>SIZE</t>
  </si>
  <si>
    <t>FREQ</t>
  </si>
  <si>
    <t>ft^3/s</t>
  </si>
  <si>
    <t>HW/D</t>
  </si>
  <si>
    <t>HW (ft)</t>
  </si>
  <si>
    <t>Ke</t>
  </si>
  <si>
    <r>
      <t>d</t>
    </r>
    <r>
      <rPr>
        <vertAlign val="subscript"/>
        <sz val="10"/>
        <rFont val="Arial"/>
        <family val="2"/>
      </rPr>
      <t>c</t>
    </r>
  </si>
  <si>
    <r>
      <t>(d</t>
    </r>
    <r>
      <rPr>
        <vertAlign val="subscript"/>
        <sz val="10"/>
        <rFont val="Arial"/>
        <family val="2"/>
      </rPr>
      <t>c</t>
    </r>
    <r>
      <rPr>
        <sz val="10"/>
        <rFont val="Arial"/>
      </rPr>
      <t>+D)/2</t>
    </r>
  </si>
  <si>
    <r>
      <t>h</t>
    </r>
    <r>
      <rPr>
        <vertAlign val="subscript"/>
        <sz val="10"/>
        <rFont val="Arial"/>
        <family val="2"/>
      </rPr>
      <t>o</t>
    </r>
  </si>
  <si>
    <t>HW</t>
  </si>
  <si>
    <t>ELEV.</t>
  </si>
  <si>
    <t>INPUT</t>
  </si>
  <si>
    <t>PIPE  DIA</t>
  </si>
  <si>
    <t>AREA</t>
  </si>
  <si>
    <t>HYD. RADIUS</t>
  </si>
  <si>
    <t>CONVEYANCE</t>
  </si>
  <si>
    <t>Pipes</t>
  </si>
  <si>
    <t>R</t>
  </si>
  <si>
    <t>Crit. Depth</t>
  </si>
  <si>
    <t>(dc/D)</t>
  </si>
  <si>
    <t>(in)</t>
  </si>
  <si>
    <t>A  (ft^2)</t>
  </si>
  <si>
    <t>K  (n=.012)</t>
  </si>
  <si>
    <t>K  (n=.024)</t>
  </si>
  <si>
    <t>CMP=&gt;</t>
  </si>
  <si>
    <t>WHERE K=(1/n)*A*R^2/3</t>
  </si>
  <si>
    <t>No. Of</t>
  </si>
  <si>
    <t>Outlet Control</t>
  </si>
  <si>
    <t>TW Channel Specs.:</t>
  </si>
  <si>
    <t>ft/ft</t>
  </si>
  <si>
    <t>ft/s</t>
  </si>
  <si>
    <t>YR</t>
  </si>
  <si>
    <t>in</t>
  </si>
  <si>
    <t>Lt. Side Slope=</t>
  </si>
  <si>
    <t>Rt. Side Slope=</t>
  </si>
  <si>
    <t>Base Width=</t>
  </si>
  <si>
    <t>SUMMARY AND RECOMMENDATIONS:</t>
  </si>
  <si>
    <t xml:space="preserve">H.W. Control Feature: </t>
  </si>
  <si>
    <t>RAIL ROAD CULVERT DATA</t>
  </si>
  <si>
    <t>Roadway Station:</t>
  </si>
  <si>
    <t>Pre Design Data</t>
  </si>
  <si>
    <t>Post Design Data</t>
  </si>
  <si>
    <t>Rational Method</t>
  </si>
  <si>
    <t>DA</t>
  </si>
  <si>
    <t>Sum CA</t>
  </si>
  <si>
    <t>Q10 (cfs)</t>
  </si>
  <si>
    <t>Q100 (cfs)</t>
  </si>
  <si>
    <t>V10 (ft/s)</t>
  </si>
  <si>
    <t>HW (10yr)</t>
  </si>
  <si>
    <t>HW (100yr)</t>
  </si>
  <si>
    <t>PROJECT:</t>
  </si>
  <si>
    <t>COUNTY:</t>
  </si>
  <si>
    <t>DATE:</t>
  </si>
  <si>
    <t>DESIGNED BY:</t>
  </si>
  <si>
    <t>RCP=.012, CMP=.024</t>
  </si>
  <si>
    <t>BARRELS</t>
  </si>
  <si>
    <t xml:space="preserve">   Designed By:</t>
  </si>
  <si>
    <t xml:space="preserve">  Reviewed By:</t>
  </si>
  <si>
    <t>R (ft)</t>
  </si>
  <si>
    <t>TR-55 PG 3.3  MANNINGS KINEMATIC SOLUTION</t>
  </si>
  <si>
    <t>Tt</t>
  </si>
  <si>
    <t>n</t>
  </si>
  <si>
    <t>(Mannings)</t>
  </si>
  <si>
    <t>L</t>
  </si>
  <si>
    <t>flow length (ft)</t>
  </si>
  <si>
    <t>Travel Time (hr)</t>
  </si>
  <si>
    <t>2yr, 24hr rainfall (in)</t>
  </si>
  <si>
    <t>s</t>
  </si>
  <si>
    <t>slope (ft/ft)</t>
  </si>
  <si>
    <t>P</t>
  </si>
  <si>
    <t>Tt=(.007*(n*L)^.8)/(P^.5*s^.4)</t>
  </si>
  <si>
    <t>Minutes</t>
  </si>
  <si>
    <t>Hours</t>
  </si>
  <si>
    <t>Sheet Flow &lt;300 ft</t>
  </si>
  <si>
    <t>http://hdsc.nws.noaa.gov/hdsc/pfds/orb/nc_pfds.html - NOAA ATLAS 14</t>
  </si>
  <si>
    <t xml:space="preserve">  ===&gt;</t>
  </si>
  <si>
    <t>Ans=</t>
  </si>
  <si>
    <t>After 300 ft Flow Usually Becomes Shallow Concentrated Flow</t>
  </si>
  <si>
    <t xml:space="preserve">  For slopes &gt;.005 Get velocity from figure 3.1 pg 3-2 TR-55</t>
  </si>
  <si>
    <t xml:space="preserve">  For slopes &lt;.005 use the following equations</t>
  </si>
  <si>
    <t>Velocity =</t>
  </si>
  <si>
    <t>Time=</t>
  </si>
  <si>
    <t>Watercourse Slope=</t>
  </si>
  <si>
    <t>Watercourse Length=</t>
  </si>
  <si>
    <t>V(paved)=</t>
  </si>
  <si>
    <t>V(unpaved)=</t>
  </si>
  <si>
    <t>Channel Flow: Use Mannings Eq. To determine Velocity</t>
  </si>
  <si>
    <t>Velocity=</t>
  </si>
  <si>
    <t>Channel Length=</t>
  </si>
  <si>
    <t>fps</t>
  </si>
  <si>
    <t>DA=</t>
  </si>
  <si>
    <t>ac</t>
  </si>
  <si>
    <t>Q10=</t>
  </si>
  <si>
    <t>Q50=</t>
  </si>
  <si>
    <t>Q100=</t>
  </si>
  <si>
    <t>Q200=</t>
  </si>
  <si>
    <t>Q500=</t>
  </si>
  <si>
    <t>ALIGNMENT:</t>
  </si>
  <si>
    <t>STATION:</t>
  </si>
  <si>
    <t>URBAN HIGHWAY CHARTS</t>
  </si>
  <si>
    <t>10&lt;DA&lt;100</t>
  </si>
  <si>
    <t>Contour Number:</t>
  </si>
  <si>
    <t>Correction Factor:</t>
  </si>
  <si>
    <t>Small Area Full Business:</t>
  </si>
  <si>
    <t>Area&lt;75ac No more than 50% impervious cover or extensive storm drain systems</t>
  </si>
  <si>
    <t>Large Area Full Business:</t>
  </si>
  <si>
    <t>Area&gt;75ac no more than 50% impervious cover or extensive storm drain systems</t>
  </si>
  <si>
    <t>Avg. Development:</t>
  </si>
  <si>
    <t>Small lots&lt;.5 acres or mix of residential and some small business</t>
  </si>
  <si>
    <t>Residential High Type:</t>
  </si>
  <si>
    <t>Suburban type development with lot sizes &gt;.5 ac</t>
  </si>
  <si>
    <t>Q10</t>
  </si>
  <si>
    <t>Q FACTORS X Q10</t>
  </si>
  <si>
    <t>CORRECTION FACTOR</t>
  </si>
  <si>
    <t>Q ROUNDED</t>
  </si>
  <si>
    <t>Q2=</t>
  </si>
  <si>
    <t>Q25=</t>
  </si>
  <si>
    <t>RATIONAL EQUATION</t>
  </si>
  <si>
    <t>DA:</t>
  </si>
  <si>
    <t>OL=</t>
  </si>
  <si>
    <t>ac                       CA=</t>
  </si>
  <si>
    <t>RDY=</t>
  </si>
  <si>
    <t>SUM====&gt;</t>
  </si>
  <si>
    <t xml:space="preserve">  ac</t>
  </si>
  <si>
    <t>INTENSITY</t>
  </si>
  <si>
    <t>DISCHARGE (cfs)</t>
  </si>
  <si>
    <t xml:space="preserve">     GP Elev.:</t>
  </si>
  <si>
    <t>Note: Inlet control still governs when adding DA from Median Inlet System.</t>
  </si>
  <si>
    <t>Alignment:</t>
  </si>
  <si>
    <t>D</t>
  </si>
  <si>
    <t>Notes &amp; Calculations</t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</si>
  <si>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*</t>
    </r>
  </si>
  <si>
    <t>Hydrologic Method:</t>
  </si>
  <si>
    <t>Type Entrance:</t>
  </si>
  <si>
    <t>Q100 Disch.:</t>
  </si>
  <si>
    <t>T.W.</t>
  </si>
  <si>
    <r>
      <t>LS</t>
    </r>
    <r>
      <rPr>
        <vertAlign val="subscript"/>
        <sz val="10"/>
        <rFont val="Arial"/>
        <family val="2"/>
      </rPr>
      <t>O</t>
    </r>
  </si>
  <si>
    <t xml:space="preserve">  Inlet Ground</t>
  </si>
  <si>
    <t xml:space="preserve">  Elev.</t>
  </si>
  <si>
    <t>Outlet Ground Elev.</t>
  </si>
  <si>
    <r>
      <t>*V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is partial flow velocity.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</si>
</sst>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"/>
    <numFmt numFmtId="166" formatCode="0.0000"/>
    <numFmt numFmtId="167" formatCode="0.0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b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quotePrefix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0" fillId="0" borderId="3" xfId="0" applyBorder="1"/>
    <xf numFmtId="166" fontId="0" fillId="0" borderId="0" xfId="0" applyNumberFormat="1"/>
    <xf numFmtId="166" fontId="0" fillId="2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0" fillId="0" borderId="0" xfId="0" applyNumberFormat="1"/>
    <xf numFmtId="165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Protection="1"/>
    <xf numFmtId="0" fontId="0" fillId="3" borderId="5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6" xfId="0" applyFill="1" applyBorder="1" applyAlignment="1" applyProtection="1">
      <alignment horizontal="centerContinuous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/>
    <xf numFmtId="0" fontId="0" fillId="2" borderId="2" xfId="0" applyFill="1" applyBorder="1" applyAlignment="1"/>
    <xf numFmtId="0" fontId="0" fillId="2" borderId="14" xfId="0" applyFill="1" applyBorder="1" applyAlignment="1">
      <alignment horizontal="center"/>
    </xf>
    <xf numFmtId="0" fontId="10" fillId="0" borderId="0" xfId="0" applyFont="1"/>
    <xf numFmtId="0" fontId="10" fillId="0" borderId="13" xfId="0" applyFont="1" applyBorder="1"/>
    <xf numFmtId="0" fontId="10" fillId="0" borderId="15" xfId="0" applyFont="1" applyBorder="1"/>
    <xf numFmtId="0" fontId="10" fillId="0" borderId="0" xfId="0" applyFont="1" applyBorder="1"/>
    <xf numFmtId="0" fontId="7" fillId="0" borderId="0" xfId="0" applyFont="1"/>
    <xf numFmtId="0" fontId="10" fillId="0" borderId="0" xfId="0" applyFont="1" applyBorder="1" applyAlignment="1">
      <alignment horizontal="center"/>
    </xf>
    <xf numFmtId="0" fontId="10" fillId="0" borderId="3" xfId="0" applyFont="1" applyBorder="1"/>
    <xf numFmtId="0" fontId="10" fillId="2" borderId="3" xfId="0" applyFont="1" applyFill="1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166" fontId="0" fillId="0" borderId="0" xfId="0" applyNumberFormat="1" applyFill="1" applyBorder="1"/>
    <xf numFmtId="165" fontId="0" fillId="0" borderId="0" xfId="0" applyNumberFormat="1" applyFill="1" applyBorder="1"/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3" borderId="0" xfId="0" applyFill="1"/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167" fontId="0" fillId="0" borderId="0" xfId="0" applyNumberFormat="1"/>
    <xf numFmtId="0" fontId="14" fillId="0" borderId="0" xfId="0" applyFont="1"/>
    <xf numFmtId="0" fontId="15" fillId="0" borderId="0" xfId="1" applyAlignment="1" applyProtection="1"/>
    <xf numFmtId="0" fontId="16" fillId="0" borderId="0" xfId="0" applyFont="1"/>
    <xf numFmtId="167" fontId="0" fillId="0" borderId="0" xfId="0" applyNumberFormat="1" applyAlignment="1">
      <alignment horizontal="center"/>
    </xf>
    <xf numFmtId="0" fontId="10" fillId="3" borderId="3" xfId="0" applyFont="1" applyFill="1" applyBorder="1" applyAlignment="1" applyProtection="1">
      <alignment horizontal="center"/>
      <protection locked="0"/>
    </xf>
    <xf numFmtId="167" fontId="10" fillId="3" borderId="15" xfId="2" applyNumberFormat="1" applyFont="1" applyFill="1" applyBorder="1"/>
    <xf numFmtId="2" fontId="10" fillId="3" borderId="13" xfId="0" applyNumberFormat="1" applyFont="1" applyFill="1" applyBorder="1"/>
    <xf numFmtId="167" fontId="10" fillId="3" borderId="3" xfId="0" applyNumberFormat="1" applyFont="1" applyFill="1" applyBorder="1" applyAlignment="1" applyProtection="1">
      <alignment horizontal="center"/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67" fontId="10" fillId="3" borderId="16" xfId="0" applyNumberFormat="1" applyFont="1" applyFill="1" applyBorder="1" applyAlignment="1" applyProtection="1">
      <alignment horizontal="center"/>
      <protection locked="0"/>
    </xf>
    <xf numFmtId="2" fontId="10" fillId="3" borderId="17" xfId="0" applyNumberFormat="1" applyFont="1" applyFill="1" applyBorder="1" applyAlignment="1" applyProtection="1">
      <alignment horizontal="center"/>
      <protection locked="0"/>
    </xf>
    <xf numFmtId="2" fontId="10" fillId="4" borderId="3" xfId="0" applyNumberFormat="1" applyFont="1" applyFill="1" applyBorder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/>
      <protection locked="0"/>
    </xf>
    <xf numFmtId="2" fontId="10" fillId="0" borderId="3" xfId="0" applyNumberFormat="1" applyFont="1" applyBorder="1" applyAlignment="1" applyProtection="1">
      <alignment horizontal="center"/>
    </xf>
    <xf numFmtId="165" fontId="10" fillId="4" borderId="3" xfId="0" applyNumberFormat="1" applyFont="1" applyFill="1" applyBorder="1" applyAlignment="1" applyProtection="1">
      <alignment horizontal="center"/>
    </xf>
    <xf numFmtId="2" fontId="10" fillId="4" borderId="18" xfId="0" applyNumberFormat="1" applyFont="1" applyFill="1" applyBorder="1" applyAlignment="1" applyProtection="1">
      <alignment horizontal="center"/>
    </xf>
    <xf numFmtId="2" fontId="10" fillId="4" borderId="19" xfId="0" applyNumberFormat="1" applyFont="1" applyFill="1" applyBorder="1" applyAlignment="1" applyProtection="1">
      <alignment horizontal="center"/>
    </xf>
    <xf numFmtId="167" fontId="10" fillId="3" borderId="13" xfId="0" applyNumberFormat="1" applyFont="1" applyFill="1" applyBorder="1"/>
    <xf numFmtId="0" fontId="0" fillId="0" borderId="13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left"/>
    </xf>
    <xf numFmtId="0" fontId="0" fillId="0" borderId="20" xfId="0" applyBorder="1"/>
    <xf numFmtId="0" fontId="0" fillId="0" borderId="21" xfId="0" applyBorder="1" applyAlignment="1">
      <alignment horizontal="center"/>
    </xf>
    <xf numFmtId="0" fontId="18" fillId="0" borderId="21" xfId="0" applyFont="1" applyBorder="1"/>
    <xf numFmtId="0" fontId="0" fillId="0" borderId="21" xfId="0" applyBorder="1"/>
    <xf numFmtId="0" fontId="18" fillId="0" borderId="21" xfId="0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19" xfId="0" applyBorder="1"/>
    <xf numFmtId="0" fontId="19" fillId="0" borderId="3" xfId="0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10" fillId="0" borderId="19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10" fillId="0" borderId="13" xfId="2" applyNumberFormat="1" applyFont="1" applyBorder="1"/>
    <xf numFmtId="0" fontId="18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3" borderId="21" xfId="0" applyFont="1" applyFill="1" applyBorder="1" applyAlignment="1" applyProtection="1">
      <alignment horizontal="center"/>
      <protection locked="0"/>
    </xf>
    <xf numFmtId="167" fontId="10" fillId="3" borderId="21" xfId="0" applyNumberFormat="1" applyFont="1" applyFill="1" applyBorder="1" applyAlignment="1" applyProtection="1">
      <alignment horizontal="center"/>
      <protection locked="0"/>
    </xf>
    <xf numFmtId="1" fontId="10" fillId="3" borderId="21" xfId="0" applyNumberFormat="1" applyFont="1" applyFill="1" applyBorder="1" applyAlignment="1" applyProtection="1">
      <alignment horizontal="center"/>
      <protection locked="0"/>
    </xf>
    <xf numFmtId="167" fontId="10" fillId="3" borderId="22" xfId="0" applyNumberFormat="1" applyFont="1" applyFill="1" applyBorder="1" applyAlignment="1" applyProtection="1">
      <alignment horizontal="center"/>
      <protection locked="0"/>
    </xf>
    <xf numFmtId="2" fontId="10" fillId="3" borderId="10" xfId="0" applyNumberFormat="1" applyFont="1" applyFill="1" applyBorder="1" applyAlignment="1" applyProtection="1">
      <alignment horizontal="center"/>
      <protection locked="0"/>
    </xf>
    <xf numFmtId="2" fontId="10" fillId="4" borderId="21" xfId="0" applyNumberFormat="1" applyFont="1" applyFill="1" applyBorder="1" applyAlignment="1" applyProtection="1">
      <alignment horizontal="center"/>
    </xf>
    <xf numFmtId="0" fontId="10" fillId="0" borderId="21" xfId="0" applyFont="1" applyBorder="1" applyAlignment="1">
      <alignment horizontal="center"/>
    </xf>
    <xf numFmtId="0" fontId="10" fillId="3" borderId="10" xfId="0" applyFont="1" applyFill="1" applyBorder="1" applyAlignment="1" applyProtection="1">
      <alignment horizontal="center"/>
      <protection locked="0"/>
    </xf>
    <xf numFmtId="2" fontId="10" fillId="0" borderId="21" xfId="0" applyNumberFormat="1" applyFont="1" applyBorder="1" applyAlignment="1" applyProtection="1">
      <alignment horizontal="center"/>
    </xf>
    <xf numFmtId="165" fontId="10" fillId="4" borderId="21" xfId="0" applyNumberFormat="1" applyFont="1" applyFill="1" applyBorder="1" applyAlignment="1" applyProtection="1">
      <alignment horizontal="center"/>
    </xf>
    <xf numFmtId="2" fontId="10" fillId="4" borderId="23" xfId="0" applyNumberFormat="1" applyFont="1" applyFill="1" applyBorder="1" applyAlignment="1" applyProtection="1">
      <alignment horizontal="center"/>
    </xf>
    <xf numFmtId="2" fontId="10" fillId="4" borderId="20" xfId="0" applyNumberFormat="1" applyFont="1" applyFill="1" applyBorder="1" applyAlignment="1" applyProtection="1">
      <alignment horizontal="center"/>
    </xf>
    <xf numFmtId="167" fontId="10" fillId="0" borderId="2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67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quotePrefix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2" borderId="24" xfId="0" applyFont="1" applyFill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10" fillId="3" borderId="25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5" borderId="13" xfId="0" applyFill="1" applyBorder="1"/>
    <xf numFmtId="0" fontId="0" fillId="0" borderId="26" xfId="0" applyBorder="1"/>
    <xf numFmtId="0" fontId="0" fillId="0" borderId="27" xfId="0" applyBorder="1"/>
    <xf numFmtId="2" fontId="10" fillId="3" borderId="28" xfId="0" applyNumberFormat="1" applyFont="1" applyFill="1" applyBorder="1"/>
    <xf numFmtId="0" fontId="5" fillId="0" borderId="27" xfId="0" applyFont="1" applyBorder="1"/>
    <xf numFmtId="0" fontId="0" fillId="0" borderId="29" xfId="0" applyBorder="1"/>
    <xf numFmtId="0" fontId="0" fillId="0" borderId="30" xfId="0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0" fontId="3" fillId="0" borderId="30" xfId="0" applyFont="1" applyBorder="1"/>
    <xf numFmtId="0" fontId="0" fillId="0" borderId="33" xfId="0" applyBorder="1"/>
    <xf numFmtId="0" fontId="7" fillId="0" borderId="30" xfId="0" applyFont="1" applyBorder="1" applyAlignment="1" applyProtection="1">
      <alignment horizontal="left"/>
      <protection locked="0"/>
    </xf>
    <xf numFmtId="0" fontId="0" fillId="3" borderId="34" xfId="0" quotePrefix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 applyProtection="1">
      <alignment horizontal="centerContinuous"/>
      <protection locked="0"/>
    </xf>
    <xf numFmtId="0" fontId="0" fillId="2" borderId="33" xfId="0" applyFill="1" applyBorder="1"/>
    <xf numFmtId="0" fontId="10" fillId="3" borderId="38" xfId="0" applyFont="1" applyFill="1" applyBorder="1" applyAlignment="1" applyProtection="1">
      <alignment horizontal="center"/>
      <protection locked="0"/>
    </xf>
    <xf numFmtId="0" fontId="10" fillId="0" borderId="39" xfId="0" applyFont="1" applyBorder="1" applyProtection="1"/>
    <xf numFmtId="0" fontId="10" fillId="3" borderId="36" xfId="0" applyFont="1" applyFill="1" applyBorder="1" applyAlignment="1" applyProtection="1">
      <alignment horizontal="center"/>
      <protection locked="0"/>
    </xf>
    <xf numFmtId="0" fontId="10" fillId="0" borderId="40" xfId="0" applyFont="1" applyBorder="1" applyProtection="1"/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33" xfId="0" applyFont="1" applyFill="1" applyBorder="1" applyProtection="1"/>
    <xf numFmtId="0" fontId="10" fillId="0" borderId="41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 horizontal="center"/>
      <protection locked="0"/>
    </xf>
    <xf numFmtId="167" fontId="10" fillId="0" borderId="42" xfId="0" applyNumberFormat="1" applyFont="1" applyFill="1" applyBorder="1" applyAlignment="1" applyProtection="1">
      <alignment horizontal="center"/>
      <protection locked="0"/>
    </xf>
    <xf numFmtId="1" fontId="10" fillId="0" borderId="42" xfId="0" applyNumberFormat="1" applyFont="1" applyFill="1" applyBorder="1" applyAlignment="1" applyProtection="1">
      <alignment horizontal="center"/>
      <protection locked="0"/>
    </xf>
    <xf numFmtId="2" fontId="10" fillId="0" borderId="42" xfId="0" applyNumberFormat="1" applyFont="1" applyFill="1" applyBorder="1" applyAlignment="1" applyProtection="1">
      <alignment horizontal="center"/>
      <protection locked="0"/>
    </xf>
    <xf numFmtId="2" fontId="10" fillId="0" borderId="42" xfId="0" applyNumberFormat="1" applyFont="1" applyFill="1" applyBorder="1" applyAlignment="1" applyProtection="1">
      <alignment horizontal="center"/>
    </xf>
    <xf numFmtId="0" fontId="10" fillId="0" borderId="42" xfId="0" applyFont="1" applyFill="1" applyBorder="1" applyAlignment="1">
      <alignment horizontal="center"/>
    </xf>
    <xf numFmtId="165" fontId="10" fillId="0" borderId="42" xfId="0" applyNumberFormat="1" applyFont="1" applyFill="1" applyBorder="1" applyAlignment="1" applyProtection="1">
      <alignment horizontal="center"/>
    </xf>
    <xf numFmtId="0" fontId="10" fillId="0" borderId="43" xfId="0" applyFont="1" applyFill="1" applyBorder="1" applyProtection="1"/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167" fontId="10" fillId="0" borderId="27" xfId="0" applyNumberFormat="1" applyFont="1" applyFill="1" applyBorder="1" applyAlignment="1" applyProtection="1">
      <alignment horizontal="center"/>
      <protection locked="0"/>
    </xf>
    <xf numFmtId="1" fontId="10" fillId="0" borderId="27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 applyProtection="1">
      <alignment horizontal="center"/>
    </xf>
    <xf numFmtId="0" fontId="10" fillId="0" borderId="27" xfId="0" applyFont="1" applyFill="1" applyBorder="1" applyAlignment="1">
      <alignment horizontal="center"/>
    </xf>
    <xf numFmtId="165" fontId="10" fillId="0" borderId="27" xfId="0" applyNumberFormat="1" applyFont="1" applyFill="1" applyBorder="1" applyAlignment="1" applyProtection="1">
      <alignment horizontal="center"/>
    </xf>
    <xf numFmtId="0" fontId="10" fillId="0" borderId="29" xfId="0" applyFont="1" applyFill="1" applyBorder="1" applyProtection="1"/>
    <xf numFmtId="0" fontId="0" fillId="2" borderId="45" xfId="0" applyFill="1" applyBorder="1" applyAlignment="1">
      <alignment horizontal="centerContinuous"/>
    </xf>
    <xf numFmtId="0" fontId="0" fillId="2" borderId="46" xfId="0" applyFill="1" applyBorder="1" applyAlignment="1">
      <alignment horizontal="centerContinuous"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/>
    <xf numFmtId="0" fontId="0" fillId="2" borderId="48" xfId="0" applyFill="1" applyBorder="1" applyAlignment="1">
      <alignment horizontal="centerContinuous"/>
    </xf>
    <xf numFmtId="0" fontId="0" fillId="2" borderId="27" xfId="0" applyFill="1" applyBorder="1" applyAlignment="1"/>
    <xf numFmtId="0" fontId="3" fillId="2" borderId="51" xfId="0" applyFont="1" applyFill="1" applyBorder="1" applyAlignment="1">
      <alignment horizontal="centerContinuous"/>
    </xf>
    <xf numFmtId="0" fontId="0" fillId="2" borderId="52" xfId="0" applyFill="1" applyBorder="1" applyAlignment="1">
      <alignment horizontal="center"/>
    </xf>
    <xf numFmtId="0" fontId="10" fillId="3" borderId="53" xfId="0" applyFont="1" applyFill="1" applyBorder="1" applyAlignment="1" applyProtection="1">
      <alignment horizontal="center"/>
      <protection locked="0"/>
    </xf>
    <xf numFmtId="0" fontId="10" fillId="3" borderId="54" xfId="0" applyFont="1" applyFill="1" applyBorder="1" applyAlignment="1" applyProtection="1">
      <alignment horizontal="center"/>
      <protection locked="0"/>
    </xf>
    <xf numFmtId="167" fontId="10" fillId="3" borderId="54" xfId="0" applyNumberFormat="1" applyFont="1" applyFill="1" applyBorder="1" applyAlignment="1" applyProtection="1">
      <alignment horizontal="center"/>
      <protection locked="0"/>
    </xf>
    <xf numFmtId="1" fontId="10" fillId="3" borderId="54" xfId="0" applyNumberFormat="1" applyFont="1" applyFill="1" applyBorder="1" applyAlignment="1" applyProtection="1">
      <alignment horizontal="center"/>
      <protection locked="0"/>
    </xf>
    <xf numFmtId="167" fontId="10" fillId="3" borderId="55" xfId="0" applyNumberFormat="1" applyFont="1" applyFill="1" applyBorder="1" applyAlignment="1" applyProtection="1">
      <alignment horizontal="center"/>
      <protection locked="0"/>
    </xf>
    <xf numFmtId="2" fontId="10" fillId="3" borderId="56" xfId="0" applyNumberFormat="1" applyFont="1" applyFill="1" applyBorder="1" applyAlignment="1" applyProtection="1">
      <alignment horizontal="center"/>
      <protection locked="0"/>
    </xf>
    <xf numFmtId="2" fontId="10" fillId="4" borderId="54" xfId="0" applyNumberFormat="1" applyFont="1" applyFill="1" applyBorder="1" applyAlignment="1" applyProtection="1">
      <alignment horizontal="center"/>
    </xf>
    <xf numFmtId="0" fontId="10" fillId="0" borderId="54" xfId="0" applyFont="1" applyBorder="1" applyAlignment="1">
      <alignment horizontal="center"/>
    </xf>
    <xf numFmtId="0" fontId="10" fillId="3" borderId="56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Border="1" applyAlignment="1" applyProtection="1">
      <alignment horizontal="center"/>
    </xf>
    <xf numFmtId="165" fontId="10" fillId="4" borderId="54" xfId="0" applyNumberFormat="1" applyFont="1" applyFill="1" applyBorder="1" applyAlignment="1" applyProtection="1">
      <alignment horizontal="center"/>
    </xf>
    <xf numFmtId="2" fontId="10" fillId="4" borderId="57" xfId="0" applyNumberFormat="1" applyFont="1" applyFill="1" applyBorder="1" applyAlignment="1" applyProtection="1">
      <alignment horizontal="center"/>
    </xf>
    <xf numFmtId="2" fontId="10" fillId="4" borderId="58" xfId="0" applyNumberFormat="1" applyFont="1" applyFill="1" applyBorder="1" applyAlignment="1" applyProtection="1">
      <alignment horizontal="center"/>
    </xf>
    <xf numFmtId="167" fontId="10" fillId="0" borderId="58" xfId="0" applyNumberFormat="1" applyFont="1" applyFill="1" applyBorder="1" applyAlignment="1" applyProtection="1">
      <alignment horizontal="center"/>
      <protection locked="0"/>
    </xf>
    <xf numFmtId="0" fontId="10" fillId="0" borderId="59" xfId="0" applyFont="1" applyBorder="1" applyProtection="1"/>
    <xf numFmtId="0" fontId="8" fillId="0" borderId="41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right"/>
    </xf>
    <xf numFmtId="0" fontId="0" fillId="0" borderId="42" xfId="0" applyFill="1" applyBorder="1" applyProtection="1">
      <protection locked="0"/>
    </xf>
    <xf numFmtId="165" fontId="0" fillId="3" borderId="42" xfId="0" applyNumberFormat="1" applyFill="1" applyBorder="1" applyProtection="1">
      <protection locked="0"/>
    </xf>
    <xf numFmtId="0" fontId="0" fillId="0" borderId="42" xfId="0" applyBorder="1"/>
    <xf numFmtId="165" fontId="0" fillId="0" borderId="42" xfId="0" applyNumberFormat="1" applyFill="1" applyBorder="1" applyProtection="1">
      <protection locked="0"/>
    </xf>
    <xf numFmtId="0" fontId="0" fillId="0" borderId="60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right"/>
      <protection locked="0"/>
    </xf>
    <xf numFmtId="0" fontId="0" fillId="3" borderId="42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3" borderId="43" xfId="0" quotePrefix="1" applyFill="1" applyBorder="1" applyAlignment="1">
      <alignment horizontal="center"/>
    </xf>
    <xf numFmtId="0" fontId="10" fillId="0" borderId="0" xfId="0" applyFont="1" applyFill="1" applyBorder="1" applyProtection="1"/>
    <xf numFmtId="0" fontId="10" fillId="0" borderId="0" xfId="0" applyFont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6</xdr:col>
      <xdr:colOff>9525</xdr:colOff>
      <xdr:row>15</xdr:row>
      <xdr:rowOff>47625</xdr:rowOff>
    </xdr:to>
    <xdr:sp macro="" textlink="">
      <xdr:nvSpPr>
        <xdr:cNvPr id="1241" name="Line 7">
          <a:extLst>
            <a:ext uri="{FF2B5EF4-FFF2-40B4-BE49-F238E27FC236}">
              <a16:creationId xmlns:a16="http://schemas.microsoft.com/office/drawing/2014/main" id="{4DC1833D-36AC-4EDB-BA80-E303514B9B21}"/>
            </a:ext>
          </a:extLst>
        </xdr:cNvPr>
        <xdr:cNvSpPr>
          <a:spLocks noChangeShapeType="1"/>
        </xdr:cNvSpPr>
      </xdr:nvSpPr>
      <xdr:spPr bwMode="auto">
        <a:xfrm>
          <a:off x="2609850" y="83820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342900</xdr:colOff>
      <xdr:row>5</xdr:row>
      <xdr:rowOff>9525</xdr:rowOff>
    </xdr:from>
    <xdr:to>
      <xdr:col>17</xdr:col>
      <xdr:colOff>342900</xdr:colOff>
      <xdr:row>15</xdr:row>
      <xdr:rowOff>47625</xdr:rowOff>
    </xdr:to>
    <xdr:sp macro="" textlink="">
      <xdr:nvSpPr>
        <xdr:cNvPr id="1242" name="Line 8">
          <a:extLst>
            <a:ext uri="{FF2B5EF4-FFF2-40B4-BE49-F238E27FC236}">
              <a16:creationId xmlns:a16="http://schemas.microsoft.com/office/drawing/2014/main" id="{A59EB576-8F41-4B81-8FF4-96AD29DCC573}"/>
            </a:ext>
          </a:extLst>
        </xdr:cNvPr>
        <xdr:cNvSpPr>
          <a:spLocks noChangeShapeType="1"/>
        </xdr:cNvSpPr>
      </xdr:nvSpPr>
      <xdr:spPr bwMode="auto">
        <a:xfrm>
          <a:off x="7943850" y="83820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11</xdr:row>
      <xdr:rowOff>28575</xdr:rowOff>
    </xdr:from>
    <xdr:to>
      <xdr:col>14</xdr:col>
      <xdr:colOff>238125</xdr:colOff>
      <xdr:row>12</xdr:row>
      <xdr:rowOff>28575</xdr:rowOff>
    </xdr:to>
    <xdr:sp macro="" textlink="">
      <xdr:nvSpPr>
        <xdr:cNvPr id="1243" name="Line 9">
          <a:extLst>
            <a:ext uri="{FF2B5EF4-FFF2-40B4-BE49-F238E27FC236}">
              <a16:creationId xmlns:a16="http://schemas.microsoft.com/office/drawing/2014/main" id="{D67011FE-E89D-4210-886D-D2AF6BCE1F43}"/>
            </a:ext>
          </a:extLst>
        </xdr:cNvPr>
        <xdr:cNvSpPr>
          <a:spLocks noChangeShapeType="1"/>
        </xdr:cNvSpPr>
      </xdr:nvSpPr>
      <xdr:spPr bwMode="auto">
        <a:xfrm>
          <a:off x="4657725" y="2009775"/>
          <a:ext cx="17145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12</xdr:row>
      <xdr:rowOff>114300</xdr:rowOff>
    </xdr:from>
    <xdr:to>
      <xdr:col>14</xdr:col>
      <xdr:colOff>238125</xdr:colOff>
      <xdr:row>13</xdr:row>
      <xdr:rowOff>76200</xdr:rowOff>
    </xdr:to>
    <xdr:sp macro="" textlink="">
      <xdr:nvSpPr>
        <xdr:cNvPr id="1244" name="Line 10">
          <a:extLst>
            <a:ext uri="{FF2B5EF4-FFF2-40B4-BE49-F238E27FC236}">
              <a16:creationId xmlns:a16="http://schemas.microsoft.com/office/drawing/2014/main" id="{4B0287C1-3F69-4E3D-92DE-AA7CFAAA9F79}"/>
            </a:ext>
          </a:extLst>
        </xdr:cNvPr>
        <xdr:cNvSpPr>
          <a:spLocks noChangeShapeType="1"/>
        </xdr:cNvSpPr>
      </xdr:nvSpPr>
      <xdr:spPr bwMode="auto">
        <a:xfrm>
          <a:off x="4667250" y="2286000"/>
          <a:ext cx="17049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11</xdr:row>
      <xdr:rowOff>28575</xdr:rowOff>
    </xdr:from>
    <xdr:to>
      <xdr:col>11</xdr:col>
      <xdr:colOff>28575</xdr:colOff>
      <xdr:row>12</xdr:row>
      <xdr:rowOff>123825</xdr:rowOff>
    </xdr:to>
    <xdr:sp macro="" textlink="">
      <xdr:nvSpPr>
        <xdr:cNvPr id="1245" name="Line 11">
          <a:extLst>
            <a:ext uri="{FF2B5EF4-FFF2-40B4-BE49-F238E27FC236}">
              <a16:creationId xmlns:a16="http://schemas.microsoft.com/office/drawing/2014/main" id="{15450D61-8E23-44D4-AC23-65D428988D0B}"/>
            </a:ext>
          </a:extLst>
        </xdr:cNvPr>
        <xdr:cNvSpPr>
          <a:spLocks noChangeShapeType="1"/>
        </xdr:cNvSpPr>
      </xdr:nvSpPr>
      <xdr:spPr bwMode="auto">
        <a:xfrm>
          <a:off x="4667250" y="2009775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12</xdr:row>
      <xdr:rowOff>28575</xdr:rowOff>
    </xdr:from>
    <xdr:to>
      <xdr:col>14</xdr:col>
      <xdr:colOff>238125</xdr:colOff>
      <xdr:row>13</xdr:row>
      <xdr:rowOff>76200</xdr:rowOff>
    </xdr:to>
    <xdr:sp macro="" textlink="">
      <xdr:nvSpPr>
        <xdr:cNvPr id="1246" name="Line 12">
          <a:extLst>
            <a:ext uri="{FF2B5EF4-FFF2-40B4-BE49-F238E27FC236}">
              <a16:creationId xmlns:a16="http://schemas.microsoft.com/office/drawing/2014/main" id="{D410E78A-3C1A-44F4-A65C-74B1D932A790}"/>
            </a:ext>
          </a:extLst>
        </xdr:cNvPr>
        <xdr:cNvSpPr>
          <a:spLocks noChangeShapeType="1"/>
        </xdr:cNvSpPr>
      </xdr:nvSpPr>
      <xdr:spPr bwMode="auto">
        <a:xfrm>
          <a:off x="6372225" y="22002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</xdr:row>
      <xdr:rowOff>38100</xdr:rowOff>
    </xdr:from>
    <xdr:to>
      <xdr:col>11</xdr:col>
      <xdr:colOff>409575</xdr:colOff>
      <xdr:row>11</xdr:row>
      <xdr:rowOff>38100</xdr:rowOff>
    </xdr:to>
    <xdr:sp macro="" textlink="">
      <xdr:nvSpPr>
        <xdr:cNvPr id="1247" name="Line 13">
          <a:extLst>
            <a:ext uri="{FF2B5EF4-FFF2-40B4-BE49-F238E27FC236}">
              <a16:creationId xmlns:a16="http://schemas.microsoft.com/office/drawing/2014/main" id="{C5CAE3CE-D11F-41F2-97C3-ECCF60FAFBC8}"/>
            </a:ext>
          </a:extLst>
        </xdr:cNvPr>
        <xdr:cNvSpPr>
          <a:spLocks noChangeShapeType="1"/>
        </xdr:cNvSpPr>
      </xdr:nvSpPr>
      <xdr:spPr bwMode="auto">
        <a:xfrm flipV="1">
          <a:off x="4667250" y="1447800"/>
          <a:ext cx="3619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6</xdr:row>
      <xdr:rowOff>47625</xdr:rowOff>
    </xdr:from>
    <xdr:to>
      <xdr:col>13</xdr:col>
      <xdr:colOff>38100</xdr:colOff>
      <xdr:row>9</xdr:row>
      <xdr:rowOff>28575</xdr:rowOff>
    </xdr:to>
    <xdr:sp macro="" textlink="">
      <xdr:nvSpPr>
        <xdr:cNvPr id="1248" name="Line 14">
          <a:extLst>
            <a:ext uri="{FF2B5EF4-FFF2-40B4-BE49-F238E27FC236}">
              <a16:creationId xmlns:a16="http://schemas.microsoft.com/office/drawing/2014/main" id="{8959F52C-E1BD-480F-9F4F-AB833D8B92E4}"/>
            </a:ext>
          </a:extLst>
        </xdr:cNvPr>
        <xdr:cNvSpPr>
          <a:spLocks noChangeShapeType="1"/>
        </xdr:cNvSpPr>
      </xdr:nvSpPr>
      <xdr:spPr bwMode="auto">
        <a:xfrm>
          <a:off x="5610225" y="10763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381000</xdr:colOff>
      <xdr:row>7</xdr:row>
      <xdr:rowOff>104775</xdr:rowOff>
    </xdr:from>
    <xdr:to>
      <xdr:col>13</xdr:col>
      <xdr:colOff>28575</xdr:colOff>
      <xdr:row>8</xdr:row>
      <xdr:rowOff>38100</xdr:rowOff>
    </xdr:to>
    <xdr:sp macro="" textlink="">
      <xdr:nvSpPr>
        <xdr:cNvPr id="1249" name="Line 15">
          <a:extLst>
            <a:ext uri="{FF2B5EF4-FFF2-40B4-BE49-F238E27FC236}">
              <a16:creationId xmlns:a16="http://schemas.microsoft.com/office/drawing/2014/main" id="{CC91C160-075A-45B7-A948-9B8A6DC6148A}"/>
            </a:ext>
          </a:extLst>
        </xdr:cNvPr>
        <xdr:cNvSpPr>
          <a:spLocks noChangeShapeType="1"/>
        </xdr:cNvSpPr>
      </xdr:nvSpPr>
      <xdr:spPr bwMode="auto">
        <a:xfrm flipV="1">
          <a:off x="5019675" y="1323975"/>
          <a:ext cx="5810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8</xdr:row>
      <xdr:rowOff>66675</xdr:rowOff>
    </xdr:from>
    <xdr:to>
      <xdr:col>14</xdr:col>
      <xdr:colOff>238125</xdr:colOff>
      <xdr:row>12</xdr:row>
      <xdr:rowOff>28575</xdr:rowOff>
    </xdr:to>
    <xdr:sp macro="" textlink="">
      <xdr:nvSpPr>
        <xdr:cNvPr id="1250" name="Line 16">
          <a:extLst>
            <a:ext uri="{FF2B5EF4-FFF2-40B4-BE49-F238E27FC236}">
              <a16:creationId xmlns:a16="http://schemas.microsoft.com/office/drawing/2014/main" id="{A88B6E21-B00F-41E6-B486-F6C13F624082}"/>
            </a:ext>
          </a:extLst>
        </xdr:cNvPr>
        <xdr:cNvSpPr>
          <a:spLocks noChangeShapeType="1"/>
        </xdr:cNvSpPr>
      </xdr:nvSpPr>
      <xdr:spPr bwMode="auto">
        <a:xfrm flipH="1" flipV="1">
          <a:off x="6048375" y="1476375"/>
          <a:ext cx="32385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</xdr:colOff>
      <xdr:row>7</xdr:row>
      <xdr:rowOff>104775</xdr:rowOff>
    </xdr:from>
    <xdr:to>
      <xdr:col>13</xdr:col>
      <xdr:colOff>485775</xdr:colOff>
      <xdr:row>8</xdr:row>
      <xdr:rowOff>66675</xdr:rowOff>
    </xdr:to>
    <xdr:sp macro="" textlink="">
      <xdr:nvSpPr>
        <xdr:cNvPr id="1251" name="Line 17">
          <a:extLst>
            <a:ext uri="{FF2B5EF4-FFF2-40B4-BE49-F238E27FC236}">
              <a16:creationId xmlns:a16="http://schemas.microsoft.com/office/drawing/2014/main" id="{DD42DB96-2066-4FE2-AA22-39C83B15E12D}"/>
            </a:ext>
          </a:extLst>
        </xdr:cNvPr>
        <xdr:cNvSpPr>
          <a:spLocks noChangeShapeType="1"/>
        </xdr:cNvSpPr>
      </xdr:nvSpPr>
      <xdr:spPr bwMode="auto">
        <a:xfrm>
          <a:off x="5600700" y="1323975"/>
          <a:ext cx="4572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57150</xdr:rowOff>
    </xdr:from>
    <xdr:to>
      <xdr:col>11</xdr:col>
      <xdr:colOff>0</xdr:colOff>
      <xdr:row>13</xdr:row>
      <xdr:rowOff>57150</xdr:rowOff>
    </xdr:to>
    <xdr:sp macro="" textlink="">
      <xdr:nvSpPr>
        <xdr:cNvPr id="1252" name="Line 34">
          <a:extLst>
            <a:ext uri="{FF2B5EF4-FFF2-40B4-BE49-F238E27FC236}">
              <a16:creationId xmlns:a16="http://schemas.microsoft.com/office/drawing/2014/main" id="{0FC37051-31D7-4C71-A22B-3A5730E6BCD7}"/>
            </a:ext>
          </a:extLst>
        </xdr:cNvPr>
        <xdr:cNvSpPr>
          <a:spLocks noChangeShapeType="1"/>
        </xdr:cNvSpPr>
      </xdr:nvSpPr>
      <xdr:spPr bwMode="auto">
        <a:xfrm flipH="1">
          <a:off x="4352925" y="24384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114300</xdr:rowOff>
    </xdr:from>
    <xdr:to>
      <xdr:col>10</xdr:col>
      <xdr:colOff>152400</xdr:colOff>
      <xdr:row>12</xdr:row>
      <xdr:rowOff>114300</xdr:rowOff>
    </xdr:to>
    <xdr:sp macro="" textlink="">
      <xdr:nvSpPr>
        <xdr:cNvPr id="1253" name="Line 35">
          <a:extLst>
            <a:ext uri="{FF2B5EF4-FFF2-40B4-BE49-F238E27FC236}">
              <a16:creationId xmlns:a16="http://schemas.microsoft.com/office/drawing/2014/main" id="{FAC5DEDE-9242-4845-B3C1-A8207BF51DF2}"/>
            </a:ext>
          </a:extLst>
        </xdr:cNvPr>
        <xdr:cNvSpPr>
          <a:spLocks noChangeShapeType="1"/>
        </xdr:cNvSpPr>
      </xdr:nvSpPr>
      <xdr:spPr bwMode="auto">
        <a:xfrm flipH="1">
          <a:off x="4362450" y="22860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10</xdr:row>
      <xdr:rowOff>57150</xdr:rowOff>
    </xdr:from>
    <xdr:to>
      <xdr:col>10</xdr:col>
      <xdr:colOff>142875</xdr:colOff>
      <xdr:row>10</xdr:row>
      <xdr:rowOff>57150</xdr:rowOff>
    </xdr:to>
    <xdr:sp macro="" textlink="">
      <xdr:nvSpPr>
        <xdr:cNvPr id="1254" name="Line 36">
          <a:extLst>
            <a:ext uri="{FF2B5EF4-FFF2-40B4-BE49-F238E27FC236}">
              <a16:creationId xmlns:a16="http://schemas.microsoft.com/office/drawing/2014/main" id="{11CB0DB9-36D3-4A13-B493-A4D2044DE220}"/>
            </a:ext>
          </a:extLst>
        </xdr:cNvPr>
        <xdr:cNvSpPr>
          <a:spLocks noChangeShapeType="1"/>
        </xdr:cNvSpPr>
      </xdr:nvSpPr>
      <xdr:spPr bwMode="auto">
        <a:xfrm flipH="1">
          <a:off x="4371975" y="18478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13</xdr:row>
      <xdr:rowOff>66675</xdr:rowOff>
    </xdr:from>
    <xdr:to>
      <xdr:col>15</xdr:col>
      <xdr:colOff>95250</xdr:colOff>
      <xdr:row>13</xdr:row>
      <xdr:rowOff>66675</xdr:rowOff>
    </xdr:to>
    <xdr:sp macro="" textlink="">
      <xdr:nvSpPr>
        <xdr:cNvPr id="1255" name="Line 37">
          <a:extLst>
            <a:ext uri="{FF2B5EF4-FFF2-40B4-BE49-F238E27FC236}">
              <a16:creationId xmlns:a16="http://schemas.microsoft.com/office/drawing/2014/main" id="{C7D32639-9089-413B-83F3-269380EE5775}"/>
            </a:ext>
          </a:extLst>
        </xdr:cNvPr>
        <xdr:cNvSpPr>
          <a:spLocks noChangeShapeType="1"/>
        </xdr:cNvSpPr>
      </xdr:nvSpPr>
      <xdr:spPr bwMode="auto">
        <a:xfrm>
          <a:off x="6448425" y="24479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11</xdr:row>
      <xdr:rowOff>123825</xdr:rowOff>
    </xdr:from>
    <xdr:to>
      <xdr:col>15</xdr:col>
      <xdr:colOff>95250</xdr:colOff>
      <xdr:row>11</xdr:row>
      <xdr:rowOff>123825</xdr:rowOff>
    </xdr:to>
    <xdr:sp macro="" textlink="">
      <xdr:nvSpPr>
        <xdr:cNvPr id="1256" name="Line 38">
          <a:extLst>
            <a:ext uri="{FF2B5EF4-FFF2-40B4-BE49-F238E27FC236}">
              <a16:creationId xmlns:a16="http://schemas.microsoft.com/office/drawing/2014/main" id="{7323FB78-0E60-44E8-B002-18725A73742F}"/>
            </a:ext>
          </a:extLst>
        </xdr:cNvPr>
        <xdr:cNvSpPr>
          <a:spLocks noChangeShapeType="1"/>
        </xdr:cNvSpPr>
      </xdr:nvSpPr>
      <xdr:spPr bwMode="auto">
        <a:xfrm>
          <a:off x="6448425" y="21050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10</xdr:row>
      <xdr:rowOff>76200</xdr:rowOff>
    </xdr:from>
    <xdr:to>
      <xdr:col>15</xdr:col>
      <xdr:colOff>76200</xdr:colOff>
      <xdr:row>10</xdr:row>
      <xdr:rowOff>76200</xdr:rowOff>
    </xdr:to>
    <xdr:sp macro="" textlink="">
      <xdr:nvSpPr>
        <xdr:cNvPr id="1257" name="Line 39">
          <a:extLst>
            <a:ext uri="{FF2B5EF4-FFF2-40B4-BE49-F238E27FC236}">
              <a16:creationId xmlns:a16="http://schemas.microsoft.com/office/drawing/2014/main" id="{07F7445F-FBF3-4E28-8C76-40867EBDE505}"/>
            </a:ext>
          </a:extLst>
        </xdr:cNvPr>
        <xdr:cNvSpPr>
          <a:spLocks noChangeShapeType="1"/>
        </xdr:cNvSpPr>
      </xdr:nvSpPr>
      <xdr:spPr bwMode="auto">
        <a:xfrm>
          <a:off x="6448425" y="18669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400050</xdr:colOff>
      <xdr:row>10</xdr:row>
      <xdr:rowOff>76200</xdr:rowOff>
    </xdr:from>
    <xdr:to>
      <xdr:col>14</xdr:col>
      <xdr:colOff>400050</xdr:colOff>
      <xdr:row>13</xdr:row>
      <xdr:rowOff>66675</xdr:rowOff>
    </xdr:to>
    <xdr:sp macro="" textlink="">
      <xdr:nvSpPr>
        <xdr:cNvPr id="1258" name="Line 40">
          <a:extLst>
            <a:ext uri="{FF2B5EF4-FFF2-40B4-BE49-F238E27FC236}">
              <a16:creationId xmlns:a16="http://schemas.microsoft.com/office/drawing/2014/main" id="{AA6DD71D-545C-419C-A914-2D9741D58042}"/>
            </a:ext>
          </a:extLst>
        </xdr:cNvPr>
        <xdr:cNvSpPr>
          <a:spLocks noChangeShapeType="1"/>
        </xdr:cNvSpPr>
      </xdr:nvSpPr>
      <xdr:spPr bwMode="auto">
        <a:xfrm flipV="1">
          <a:off x="6534150" y="1866900"/>
          <a:ext cx="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10</xdr:row>
      <xdr:rowOff>57150</xdr:rowOff>
    </xdr:from>
    <xdr:to>
      <xdr:col>10</xdr:col>
      <xdr:colOff>28575</xdr:colOff>
      <xdr:row>13</xdr:row>
      <xdr:rowOff>57150</xdr:rowOff>
    </xdr:to>
    <xdr:sp macro="" textlink="">
      <xdr:nvSpPr>
        <xdr:cNvPr id="1259" name="Line 41">
          <a:extLst>
            <a:ext uri="{FF2B5EF4-FFF2-40B4-BE49-F238E27FC236}">
              <a16:creationId xmlns:a16="http://schemas.microsoft.com/office/drawing/2014/main" id="{F4170CDF-7836-483E-9BF1-228783251664}"/>
            </a:ext>
          </a:extLst>
        </xdr:cNvPr>
        <xdr:cNvSpPr>
          <a:spLocks noChangeShapeType="1"/>
        </xdr:cNvSpPr>
      </xdr:nvSpPr>
      <xdr:spPr bwMode="auto">
        <a:xfrm flipV="1">
          <a:off x="4533900" y="1847850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95250</xdr:colOff>
      <xdr:row>8</xdr:row>
      <xdr:rowOff>28575</xdr:rowOff>
    </xdr:from>
    <xdr:to>
      <xdr:col>12</xdr:col>
      <xdr:colOff>95250</xdr:colOff>
      <xdr:row>8</xdr:row>
      <xdr:rowOff>66675</xdr:rowOff>
    </xdr:to>
    <xdr:sp macro="" textlink="">
      <xdr:nvSpPr>
        <xdr:cNvPr id="1260" name="Line 44">
          <a:extLst>
            <a:ext uri="{FF2B5EF4-FFF2-40B4-BE49-F238E27FC236}">
              <a16:creationId xmlns:a16="http://schemas.microsoft.com/office/drawing/2014/main" id="{5E806ED5-04E9-46E6-BBB2-9014330C1A93}"/>
            </a:ext>
          </a:extLst>
        </xdr:cNvPr>
        <xdr:cNvSpPr>
          <a:spLocks noChangeShapeType="1"/>
        </xdr:cNvSpPr>
      </xdr:nvSpPr>
      <xdr:spPr bwMode="auto">
        <a:xfrm>
          <a:off x="5124450" y="1438275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95250</xdr:colOff>
      <xdr:row>7</xdr:row>
      <xdr:rowOff>152400</xdr:rowOff>
    </xdr:from>
    <xdr:to>
      <xdr:col>13</xdr:col>
      <xdr:colOff>38100</xdr:colOff>
      <xdr:row>8</xdr:row>
      <xdr:rowOff>66675</xdr:rowOff>
    </xdr:to>
    <xdr:sp macro="" textlink="">
      <xdr:nvSpPr>
        <xdr:cNvPr id="1261" name="Line 46">
          <a:extLst>
            <a:ext uri="{FF2B5EF4-FFF2-40B4-BE49-F238E27FC236}">
              <a16:creationId xmlns:a16="http://schemas.microsoft.com/office/drawing/2014/main" id="{5CBF4EED-F202-495F-83D3-B7657EB62D8D}"/>
            </a:ext>
          </a:extLst>
        </xdr:cNvPr>
        <xdr:cNvSpPr>
          <a:spLocks noChangeShapeType="1"/>
        </xdr:cNvSpPr>
      </xdr:nvSpPr>
      <xdr:spPr bwMode="auto">
        <a:xfrm flipV="1">
          <a:off x="5124450" y="1371600"/>
          <a:ext cx="4857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390525</xdr:colOff>
      <xdr:row>8</xdr:row>
      <xdr:rowOff>47625</xdr:rowOff>
    </xdr:from>
    <xdr:to>
      <xdr:col>13</xdr:col>
      <xdr:colOff>390525</xdr:colOff>
      <xdr:row>8</xdr:row>
      <xdr:rowOff>76200</xdr:rowOff>
    </xdr:to>
    <xdr:sp macro="" textlink="">
      <xdr:nvSpPr>
        <xdr:cNvPr id="1262" name="Line 47">
          <a:extLst>
            <a:ext uri="{FF2B5EF4-FFF2-40B4-BE49-F238E27FC236}">
              <a16:creationId xmlns:a16="http://schemas.microsoft.com/office/drawing/2014/main" id="{E9F5F2DA-3647-41AC-B882-2F9B277345D2}"/>
            </a:ext>
          </a:extLst>
        </xdr:cNvPr>
        <xdr:cNvSpPr>
          <a:spLocks noChangeShapeType="1"/>
        </xdr:cNvSpPr>
      </xdr:nvSpPr>
      <xdr:spPr bwMode="auto">
        <a:xfrm>
          <a:off x="5962650" y="1457325"/>
          <a:ext cx="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7</xdr:row>
      <xdr:rowOff>152400</xdr:rowOff>
    </xdr:from>
    <xdr:to>
      <xdr:col>13</xdr:col>
      <xdr:colOff>390525</xdr:colOff>
      <xdr:row>8</xdr:row>
      <xdr:rowOff>85725</xdr:rowOff>
    </xdr:to>
    <xdr:sp macro="" textlink="">
      <xdr:nvSpPr>
        <xdr:cNvPr id="1263" name="Line 51">
          <a:extLst>
            <a:ext uri="{FF2B5EF4-FFF2-40B4-BE49-F238E27FC236}">
              <a16:creationId xmlns:a16="http://schemas.microsoft.com/office/drawing/2014/main" id="{6846A2B3-F12B-4D91-B3B2-261E62FF055B}"/>
            </a:ext>
          </a:extLst>
        </xdr:cNvPr>
        <xdr:cNvSpPr>
          <a:spLocks noChangeShapeType="1"/>
        </xdr:cNvSpPr>
      </xdr:nvSpPr>
      <xdr:spPr bwMode="auto">
        <a:xfrm>
          <a:off x="5610225" y="1371600"/>
          <a:ext cx="3524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</xdr:row>
      <xdr:rowOff>9525</xdr:rowOff>
    </xdr:from>
    <xdr:to>
      <xdr:col>21</xdr:col>
      <xdr:colOff>9525</xdr:colOff>
      <xdr:row>15</xdr:row>
      <xdr:rowOff>114300</xdr:rowOff>
    </xdr:to>
    <xdr:sp macro="" textlink="">
      <xdr:nvSpPr>
        <xdr:cNvPr id="1264" name="Rectangle 52">
          <a:extLst>
            <a:ext uri="{FF2B5EF4-FFF2-40B4-BE49-F238E27FC236}">
              <a16:creationId xmlns:a16="http://schemas.microsoft.com/office/drawing/2014/main" id="{3A6EEF85-6DF1-479D-956F-69FB52876309}"/>
            </a:ext>
          </a:extLst>
        </xdr:cNvPr>
        <xdr:cNvSpPr>
          <a:spLocks noChangeArrowheads="1"/>
        </xdr:cNvSpPr>
      </xdr:nvSpPr>
      <xdr:spPr bwMode="auto">
        <a:xfrm>
          <a:off x="2609850" y="838200"/>
          <a:ext cx="7848600" cy="2038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9525</xdr:rowOff>
    </xdr:from>
    <xdr:to>
      <xdr:col>6</xdr:col>
      <xdr:colOff>9525</xdr:colOff>
      <xdr:row>17</xdr:row>
      <xdr:rowOff>104775</xdr:rowOff>
    </xdr:to>
    <xdr:sp macro="" textlink="">
      <xdr:nvSpPr>
        <xdr:cNvPr id="1265" name="Rectangle 53">
          <a:extLst>
            <a:ext uri="{FF2B5EF4-FFF2-40B4-BE49-F238E27FC236}">
              <a16:creationId xmlns:a16="http://schemas.microsoft.com/office/drawing/2014/main" id="{10EACAED-2577-43DC-8EB1-215D2CEAAA5A}"/>
            </a:ext>
          </a:extLst>
        </xdr:cNvPr>
        <xdr:cNvSpPr>
          <a:spLocks noChangeArrowheads="1"/>
        </xdr:cNvSpPr>
      </xdr:nvSpPr>
      <xdr:spPr bwMode="auto">
        <a:xfrm>
          <a:off x="161925" y="838200"/>
          <a:ext cx="2447925" cy="2438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hdsc.nws.noaa.gov/hdsc/pfds/orb/nc_pfd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H53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2.28515625" customWidth="1"/>
    <col min="2" max="2" width="6.140625" customWidth="1"/>
    <col min="3" max="3" width="8.5703125" customWidth="1"/>
    <col min="4" max="4" width="7.140625" customWidth="1"/>
    <col min="5" max="5" width="5.7109375" customWidth="1"/>
    <col min="7" max="7" width="5.7109375" customWidth="1"/>
    <col min="8" max="8" width="7.28515625" customWidth="1"/>
    <col min="9" max="9" width="7.42578125" customWidth="1"/>
    <col min="10" max="10" width="8.140625" customWidth="1"/>
    <col min="11" max="11" width="2" customWidth="1"/>
    <col min="12" max="12" width="5.85546875" customWidth="1"/>
    <col min="13" max="13" width="8.140625" customWidth="1"/>
    <col min="14" max="14" width="8.42578125" customWidth="1"/>
    <col min="15" max="15" width="6.42578125" customWidth="1"/>
    <col min="16" max="16" width="8.5703125" customWidth="1"/>
    <col min="17" max="17" width="7" bestFit="1" customWidth="1"/>
    <col min="18" max="18" width="7.42578125" customWidth="1"/>
    <col min="19" max="19" width="8.140625" customWidth="1"/>
    <col min="20" max="20" width="8.85546875" customWidth="1"/>
    <col min="21" max="21" width="18.28515625" customWidth="1"/>
    <col min="22" max="22" width="15.28515625" customWidth="1"/>
    <col min="23" max="23" width="13.85546875" customWidth="1"/>
    <col min="28" max="28" width="13.5703125" customWidth="1"/>
    <col min="29" max="29" width="15.5703125" customWidth="1"/>
  </cols>
  <sheetData>
    <row r="1" spans="2:23" ht="6.75" customHeight="1" x14ac:dyDescent="0.2"/>
    <row r="2" spans="2:23" ht="21" customHeight="1" x14ac:dyDescent="0.35">
      <c r="I2" s="1" t="s">
        <v>0</v>
      </c>
    </row>
    <row r="3" spans="2:23" ht="15" x14ac:dyDescent="0.2">
      <c r="B3" t="s">
        <v>1</v>
      </c>
      <c r="D3" s="226"/>
      <c r="E3" s="226"/>
      <c r="R3" s="9" t="s">
        <v>2</v>
      </c>
      <c r="S3" s="55"/>
      <c r="T3" s="2" t="s">
        <v>3</v>
      </c>
      <c r="U3" s="55"/>
    </row>
    <row r="4" spans="2:23" ht="15" x14ac:dyDescent="0.2">
      <c r="B4" t="s">
        <v>4</v>
      </c>
      <c r="D4" s="224"/>
      <c r="E4" s="224"/>
      <c r="H4" s="225" t="s">
        <v>5</v>
      </c>
      <c r="I4" s="225"/>
      <c r="J4" s="41"/>
      <c r="K4" s="37"/>
      <c r="L4" s="225" t="s">
        <v>6</v>
      </c>
      <c r="M4" s="225"/>
      <c r="N4" s="41"/>
      <c r="P4" s="51" t="s">
        <v>101</v>
      </c>
      <c r="Q4" s="2"/>
      <c r="R4" s="41"/>
      <c r="S4" t="s">
        <v>102</v>
      </c>
      <c r="U4" s="41"/>
    </row>
    <row r="5" spans="2:23" ht="7.5" customHeight="1" thickBot="1" x14ac:dyDescent="0.25"/>
    <row r="6" spans="2:23" ht="15.75" x14ac:dyDescent="0.25"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 t="s">
        <v>171</v>
      </c>
      <c r="M6" s="139"/>
      <c r="N6" s="140"/>
      <c r="O6" s="139" t="s">
        <v>7</v>
      </c>
      <c r="P6" s="139"/>
      <c r="Q6" s="139"/>
      <c r="R6" s="139"/>
      <c r="S6" s="141" t="s">
        <v>8</v>
      </c>
      <c r="T6" s="139"/>
      <c r="U6" s="142"/>
    </row>
    <row r="7" spans="2:23" ht="15" x14ac:dyDescent="0.2">
      <c r="B7" s="143"/>
      <c r="C7" s="9"/>
      <c r="D7" s="9"/>
      <c r="E7" s="9"/>
      <c r="F7" s="9"/>
      <c r="G7" s="9"/>
      <c r="H7" s="9"/>
      <c r="I7" s="9" t="s">
        <v>9</v>
      </c>
      <c r="J7" s="9"/>
      <c r="K7" s="9"/>
      <c r="L7" s="9"/>
      <c r="M7" s="9"/>
      <c r="N7" s="9"/>
      <c r="O7" s="9"/>
      <c r="P7" s="9"/>
      <c r="Q7" s="9"/>
      <c r="R7" s="9"/>
      <c r="S7" s="9" t="s">
        <v>10</v>
      </c>
      <c r="T7" s="9"/>
      <c r="U7" s="144"/>
      <c r="V7" s="3"/>
      <c r="W7" s="27"/>
    </row>
    <row r="8" spans="2:23" ht="15" x14ac:dyDescent="0.2">
      <c r="B8" s="143" t="s">
        <v>173</v>
      </c>
      <c r="C8" s="9"/>
      <c r="D8" s="9"/>
      <c r="E8" s="224"/>
      <c r="F8" s="224"/>
      <c r="G8" s="9"/>
      <c r="H8" s="9"/>
      <c r="I8" s="9" t="s">
        <v>11</v>
      </c>
      <c r="J8" s="67"/>
      <c r="K8" s="9"/>
      <c r="L8" s="9" t="s">
        <v>7</v>
      </c>
      <c r="M8" s="9"/>
      <c r="N8" s="9"/>
      <c r="O8" s="9"/>
      <c r="P8" s="9"/>
      <c r="Q8" s="9"/>
      <c r="R8" s="9"/>
      <c r="S8" s="9" t="s">
        <v>12</v>
      </c>
      <c r="T8" s="9"/>
      <c r="U8" s="145"/>
      <c r="V8" s="3"/>
      <c r="W8" s="3"/>
    </row>
    <row r="9" spans="2:23" ht="15" x14ac:dyDescent="0.2">
      <c r="B9" s="143" t="s">
        <v>14</v>
      </c>
      <c r="C9" s="9"/>
      <c r="D9" s="9"/>
      <c r="E9" s="224"/>
      <c r="F9" s="22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 t="s">
        <v>15</v>
      </c>
      <c r="T9" s="9"/>
      <c r="U9" s="146"/>
      <c r="V9" s="3"/>
      <c r="W9" s="3"/>
    </row>
    <row r="10" spans="2:23" ht="15" x14ac:dyDescent="0.2">
      <c r="B10" s="143" t="s">
        <v>16</v>
      </c>
      <c r="C10" s="9"/>
      <c r="D10" s="9"/>
      <c r="E10" s="224"/>
      <c r="F10" s="224"/>
      <c r="G10" s="9"/>
      <c r="H10" s="9"/>
      <c r="I10" s="9"/>
      <c r="J10" s="9"/>
      <c r="K10" s="9"/>
      <c r="L10" s="9"/>
      <c r="M10" s="9"/>
      <c r="N10" s="9"/>
      <c r="O10" s="9"/>
      <c r="P10" s="129" t="s">
        <v>184</v>
      </c>
      <c r="Q10" s="9"/>
      <c r="R10" s="9"/>
      <c r="S10" s="9" t="s">
        <v>17</v>
      </c>
      <c r="T10" s="9"/>
      <c r="U10" s="147"/>
      <c r="V10" s="3"/>
      <c r="W10" s="3"/>
    </row>
    <row r="11" spans="2:23" ht="15" x14ac:dyDescent="0.2">
      <c r="B11" s="143" t="s">
        <v>18</v>
      </c>
      <c r="C11" s="9"/>
      <c r="D11" s="9"/>
      <c r="E11" s="224"/>
      <c r="F11" s="224"/>
      <c r="G11" s="129" t="s">
        <v>182</v>
      </c>
      <c r="H11" s="9"/>
      <c r="I11" s="9"/>
      <c r="J11" s="9"/>
      <c r="K11" s="9"/>
      <c r="L11" s="9"/>
      <c r="M11" s="9"/>
      <c r="N11" s="9"/>
      <c r="O11" s="9"/>
      <c r="P11" s="124" t="s">
        <v>19</v>
      </c>
      <c r="Q11" s="78"/>
      <c r="R11" s="9" t="s">
        <v>7</v>
      </c>
      <c r="S11" s="129" t="s">
        <v>179</v>
      </c>
      <c r="T11" s="9"/>
      <c r="U11" s="146"/>
      <c r="V11" s="3"/>
      <c r="W11" s="3"/>
    </row>
    <row r="12" spans="2:23" ht="15" x14ac:dyDescent="0.2">
      <c r="B12" s="148" t="s">
        <v>178</v>
      </c>
      <c r="C12" s="9"/>
      <c r="D12" s="9"/>
      <c r="E12" s="224"/>
      <c r="F12" s="224"/>
      <c r="G12" s="129" t="s">
        <v>183</v>
      </c>
      <c r="H12" s="137"/>
      <c r="I12" s="129" t="s">
        <v>7</v>
      </c>
      <c r="J12" s="9" t="s">
        <v>21</v>
      </c>
      <c r="K12" s="9"/>
      <c r="L12" s="9"/>
      <c r="M12" s="9"/>
      <c r="N12" s="9"/>
      <c r="O12" s="9"/>
      <c r="P12" s="9"/>
      <c r="Q12" s="9"/>
      <c r="R12" s="9"/>
      <c r="S12" s="9" t="s">
        <v>22</v>
      </c>
      <c r="T12" s="9"/>
      <c r="U12" s="147"/>
      <c r="V12" s="3"/>
      <c r="W12" s="3"/>
    </row>
    <row r="13" spans="2:23" ht="16.5" x14ac:dyDescent="0.3">
      <c r="B13" s="143" t="s">
        <v>23</v>
      </c>
      <c r="C13" s="9"/>
      <c r="D13" s="9"/>
      <c r="E13" s="224"/>
      <c r="F13" s="224"/>
      <c r="G13" s="9"/>
      <c r="H13" s="9"/>
      <c r="I13" s="9"/>
      <c r="J13" s="9" t="s">
        <v>24</v>
      </c>
      <c r="K13" s="9"/>
      <c r="L13" s="9"/>
      <c r="M13" s="9"/>
      <c r="N13" s="9"/>
      <c r="O13" s="9"/>
      <c r="P13" s="130" t="s">
        <v>180</v>
      </c>
      <c r="Q13" s="9"/>
      <c r="R13" s="9"/>
      <c r="S13" s="9" t="s">
        <v>25</v>
      </c>
      <c r="T13" s="9"/>
      <c r="U13" s="145"/>
      <c r="V13" s="3"/>
      <c r="W13" s="3"/>
    </row>
    <row r="14" spans="2:23" ht="15" x14ac:dyDescent="0.2">
      <c r="B14" s="148" t="s">
        <v>177</v>
      </c>
      <c r="C14" s="9"/>
      <c r="D14" s="9"/>
      <c r="E14" s="224"/>
      <c r="F14" s="224"/>
      <c r="G14" s="27" t="s">
        <v>27</v>
      </c>
      <c r="H14" s="9"/>
      <c r="I14" s="9"/>
      <c r="J14" s="9"/>
      <c r="K14" s="9"/>
      <c r="L14" s="125" t="s">
        <v>28</v>
      </c>
      <c r="M14" s="100" t="str">
        <f>IF(I15="","",(I15-Q15)/M15)</f>
        <v/>
      </c>
      <c r="N14" s="9" t="s">
        <v>13</v>
      </c>
      <c r="O14" s="9"/>
      <c r="P14" s="28"/>
      <c r="Q14" s="9"/>
      <c r="R14" s="9"/>
      <c r="S14" s="9" t="s">
        <v>29</v>
      </c>
      <c r="T14" s="9"/>
      <c r="U14" s="145"/>
      <c r="V14" s="3"/>
      <c r="W14" s="3"/>
    </row>
    <row r="15" spans="2:23" ht="15" x14ac:dyDescent="0.2">
      <c r="B15" s="143" t="s">
        <v>30</v>
      </c>
      <c r="C15" s="9"/>
      <c r="D15" s="9"/>
      <c r="E15" s="224"/>
      <c r="F15" s="224"/>
      <c r="G15" s="125" t="s">
        <v>31</v>
      </c>
      <c r="H15" s="125"/>
      <c r="I15" s="78"/>
      <c r="J15" s="9" t="s">
        <v>7</v>
      </c>
      <c r="K15" s="9"/>
      <c r="L15" s="125" t="s">
        <v>32</v>
      </c>
      <c r="M15" s="66"/>
      <c r="N15" s="9" t="s">
        <v>7</v>
      </c>
      <c r="O15" s="9" t="s">
        <v>33</v>
      </c>
      <c r="P15" s="9"/>
      <c r="Q15" s="78"/>
      <c r="R15" s="9" t="s">
        <v>7</v>
      </c>
      <c r="S15" s="9" t="s">
        <v>34</v>
      </c>
      <c r="T15" s="9"/>
      <c r="U15" s="145"/>
      <c r="V15" s="3"/>
      <c r="W15" s="3"/>
    </row>
    <row r="16" spans="2:23" ht="15.75" thickBot="1" x14ac:dyDescent="0.25">
      <c r="B16" s="143" t="s">
        <v>82</v>
      </c>
      <c r="C16" s="9"/>
      <c r="D16" s="9"/>
      <c r="E16" s="224"/>
      <c r="F16" s="224"/>
      <c r="G16" s="9"/>
      <c r="H16" s="9"/>
      <c r="I16" s="9"/>
      <c r="J16" s="9"/>
      <c r="K16" s="9"/>
      <c r="L16" s="9"/>
      <c r="M16" s="13"/>
      <c r="N16" s="9"/>
      <c r="O16" s="9"/>
      <c r="P16" s="9"/>
      <c r="Q16" s="9"/>
      <c r="R16" s="9"/>
      <c r="S16" s="9"/>
      <c r="T16" s="9"/>
      <c r="U16" s="149"/>
    </row>
    <row r="17" spans="1:34" ht="16.5" thickTop="1" x14ac:dyDescent="0.25">
      <c r="B17" s="150"/>
      <c r="C17" s="131"/>
      <c r="D17" s="9"/>
      <c r="E17" s="219"/>
      <c r="F17" s="219"/>
      <c r="G17" s="9"/>
      <c r="H17" s="9"/>
      <c r="I17" s="9" t="s">
        <v>99</v>
      </c>
      <c r="J17" s="9"/>
      <c r="K17" s="9"/>
      <c r="L17" s="9"/>
      <c r="M17" s="13"/>
      <c r="N17" s="21" t="s">
        <v>73</v>
      </c>
      <c r="O17" s="22"/>
      <c r="P17" s="22"/>
      <c r="Q17" s="23" t="s">
        <v>35</v>
      </c>
      <c r="R17" s="26"/>
      <c r="S17" s="22" t="s">
        <v>78</v>
      </c>
      <c r="T17" s="22"/>
      <c r="U17" s="151"/>
      <c r="V17" s="20"/>
      <c r="W17" s="19"/>
    </row>
    <row r="18" spans="1:34" ht="13.5" thickBot="1" x14ac:dyDescent="0.25">
      <c r="B18" s="205"/>
      <c r="C18" s="206"/>
      <c r="D18" s="207"/>
      <c r="E18" s="207"/>
      <c r="F18" s="208"/>
      <c r="G18" s="209"/>
      <c r="H18" s="209"/>
      <c r="I18" s="208" t="s">
        <v>36</v>
      </c>
      <c r="J18" s="210"/>
      <c r="K18" s="211"/>
      <c r="L18" s="208"/>
      <c r="M18" s="212"/>
      <c r="N18" s="213" t="s">
        <v>80</v>
      </c>
      <c r="O18" s="214"/>
      <c r="P18" s="215"/>
      <c r="Q18" s="208" t="s">
        <v>36</v>
      </c>
      <c r="R18" s="215"/>
      <c r="S18" s="216" t="s">
        <v>79</v>
      </c>
      <c r="T18" s="211"/>
      <c r="U18" s="217"/>
      <c r="V18" s="20"/>
      <c r="W18" s="19"/>
    </row>
    <row r="19" spans="1:34" ht="15.75" x14ac:dyDescent="0.3">
      <c r="B19" s="220" t="s">
        <v>100</v>
      </c>
      <c r="C19" s="221"/>
      <c r="D19" s="180"/>
      <c r="E19" s="181" t="s">
        <v>37</v>
      </c>
      <c r="F19" s="182" t="s">
        <v>38</v>
      </c>
      <c r="G19" s="183" t="s">
        <v>39</v>
      </c>
      <c r="H19" s="184" t="s">
        <v>40</v>
      </c>
      <c r="I19" s="185" t="s">
        <v>41</v>
      </c>
      <c r="J19" s="186"/>
      <c r="K19" s="180"/>
      <c r="L19" s="222" t="s">
        <v>72</v>
      </c>
      <c r="M19" s="221"/>
      <c r="N19" s="221"/>
      <c r="O19" s="221"/>
      <c r="P19" s="221"/>
      <c r="Q19" s="221"/>
      <c r="R19" s="223"/>
      <c r="S19" s="187" t="s">
        <v>42</v>
      </c>
      <c r="T19" s="188" t="s">
        <v>176</v>
      </c>
      <c r="U19" s="189"/>
      <c r="V19" s="20"/>
      <c r="W19" s="20"/>
      <c r="AA19" s="13"/>
      <c r="AB19" s="13"/>
      <c r="AC19" s="13"/>
      <c r="AD19" s="13"/>
      <c r="AE19" s="13"/>
      <c r="AF19" s="13"/>
      <c r="AG19" s="13"/>
      <c r="AH19" s="13"/>
    </row>
    <row r="20" spans="1:34" ht="15.75" x14ac:dyDescent="0.3">
      <c r="B20" s="153" t="s">
        <v>45</v>
      </c>
      <c r="C20" s="132" t="s">
        <v>71</v>
      </c>
      <c r="D20" s="6" t="s">
        <v>46</v>
      </c>
      <c r="E20" s="31"/>
      <c r="F20" s="6"/>
      <c r="G20" s="6" t="s">
        <v>21</v>
      </c>
      <c r="H20" s="31" t="s">
        <v>21</v>
      </c>
      <c r="I20" s="32" t="s">
        <v>48</v>
      </c>
      <c r="J20" s="6" t="s">
        <v>49</v>
      </c>
      <c r="K20" s="6"/>
      <c r="L20" s="33" t="s">
        <v>50</v>
      </c>
      <c r="M20" s="6" t="s">
        <v>51</v>
      </c>
      <c r="N20" s="34" t="s">
        <v>52</v>
      </c>
      <c r="O20" s="6" t="s">
        <v>53</v>
      </c>
      <c r="P20" s="6" t="s">
        <v>19</v>
      </c>
      <c r="Q20" s="135" t="s">
        <v>181</v>
      </c>
      <c r="R20" s="35" t="s">
        <v>54</v>
      </c>
      <c r="S20" s="36" t="s">
        <v>55</v>
      </c>
      <c r="T20" s="128"/>
      <c r="U20" s="152" t="s">
        <v>43</v>
      </c>
      <c r="V20" s="20"/>
      <c r="W20" s="24"/>
      <c r="Y20" s="8" t="s">
        <v>56</v>
      </c>
      <c r="AA20" s="13"/>
      <c r="AB20" s="13"/>
      <c r="AC20" s="14"/>
      <c r="AD20" s="13"/>
      <c r="AE20" s="13"/>
      <c r="AF20" s="13"/>
      <c r="AG20" s="13"/>
      <c r="AH20" s="13"/>
    </row>
    <row r="21" spans="1:34" x14ac:dyDescent="0.2">
      <c r="B21" s="154" t="s">
        <v>77</v>
      </c>
      <c r="C21" s="29" t="s">
        <v>61</v>
      </c>
      <c r="D21" s="134" t="s">
        <v>76</v>
      </c>
      <c r="E21" s="30" t="s">
        <v>7</v>
      </c>
      <c r="F21" s="30" t="s">
        <v>47</v>
      </c>
      <c r="G21" s="30" t="s">
        <v>7</v>
      </c>
      <c r="H21" s="126" t="s">
        <v>7</v>
      </c>
      <c r="I21" s="7" t="s">
        <v>74</v>
      </c>
      <c r="J21" s="31" t="s">
        <v>7</v>
      </c>
      <c r="K21" s="123"/>
      <c r="L21" s="38"/>
      <c r="M21" s="30" t="s">
        <v>7</v>
      </c>
      <c r="N21" s="30" t="s">
        <v>7</v>
      </c>
      <c r="O21" s="30" t="s">
        <v>7</v>
      </c>
      <c r="P21" s="30" t="s">
        <v>7</v>
      </c>
      <c r="Q21" s="30" t="s">
        <v>7</v>
      </c>
      <c r="R21" s="39" t="s">
        <v>7</v>
      </c>
      <c r="S21" s="38"/>
      <c r="T21" s="31" t="s">
        <v>75</v>
      </c>
      <c r="U21" s="155"/>
      <c r="V21" s="9"/>
      <c r="W21" s="101" t="s">
        <v>174</v>
      </c>
      <c r="X21" s="2" t="s">
        <v>62</v>
      </c>
      <c r="Y21" t="s">
        <v>63</v>
      </c>
      <c r="Z21" t="s">
        <v>64</v>
      </c>
      <c r="AA21" s="13"/>
      <c r="AB21" s="13"/>
      <c r="AC21" s="14"/>
      <c r="AD21" s="13"/>
      <c r="AE21" s="13"/>
      <c r="AF21" s="13"/>
      <c r="AG21" s="13"/>
      <c r="AH21" s="13"/>
    </row>
    <row r="22" spans="1:34" ht="20.100000000000001" customHeight="1" x14ac:dyDescent="0.2">
      <c r="B22" s="156"/>
      <c r="C22" s="65"/>
      <c r="D22" s="133"/>
      <c r="E22" s="68"/>
      <c r="F22" s="69"/>
      <c r="G22" s="69"/>
      <c r="H22" s="70"/>
      <c r="I22" s="71"/>
      <c r="J22" s="72" t="str">
        <f>IF(B22="","",I22*(B22/12))</f>
        <v/>
      </c>
      <c r="K22" s="54"/>
      <c r="L22" s="73"/>
      <c r="M22" s="72" t="str">
        <f>IF(B22="","",IF(Y22&lt;W22,Y22,W22))</f>
        <v/>
      </c>
      <c r="N22" s="72" t="str">
        <f>IF(B22="","",IF(M22="INPUT","Chk dc",(M22+(B22/12))/2))</f>
        <v/>
      </c>
      <c r="O22" s="74" t="str">
        <f>IF(E22&gt;N22,E22,N22)</f>
        <v/>
      </c>
      <c r="P22" s="75" t="str">
        <f>IF(B22="","",((F22/(C22*(((PI()*(B22/12)^2)/4))))^2/64.4)*(1+L22+(29*$J$18^2*$M$15)/(X22^1.33)))</f>
        <v/>
      </c>
      <c r="Q22" s="72" t="str">
        <f>IF(B22="","",$M$15*$M$14)</f>
        <v/>
      </c>
      <c r="R22" s="76" t="str">
        <f>IF(B22="","",IF(M22="INPUT","Chk dc",O22+P22-Q22))</f>
        <v/>
      </c>
      <c r="S22" s="77" t="str">
        <f>IF(B22="","",IF(M21="INPUT","Chk dc",IF(J22&gt;R22,$I$15+J22,$I$15+R22)))</f>
        <v/>
      </c>
      <c r="T22" s="94"/>
      <c r="U22" s="157" t="str">
        <f>IF(B22="","",IF(M22="INPUT","Input Critical Depth",IF(J22&gt;R22,"INLET CONTROL","OUTLET CONTROL")))</f>
        <v/>
      </c>
      <c r="V22" s="25" t="str">
        <f>IF(B22="","",IF(J22&gt;H22,"CK HW",IF(R22&gt;H22,"CK HW","OK")))</f>
        <v/>
      </c>
      <c r="W22" s="102">
        <f>B22/12</f>
        <v>0</v>
      </c>
      <c r="X22" s="11" t="str">
        <f>IF(B22="","No Data",VLOOKUP(B22,TABLE,3))</f>
        <v>No Data</v>
      </c>
      <c r="Y22" t="str">
        <f>IF(B22="","No Data",0.325*(F22/(B22*C22/12))^0.667+0.083*(B22/12))</f>
        <v>No Data</v>
      </c>
      <c r="Z22" t="str">
        <f>IF(B22="","No Data",Y22/(B22*C22/12))</f>
        <v>No Data</v>
      </c>
      <c r="AA22" s="13"/>
      <c r="AB22" s="15"/>
      <c r="AC22" s="52"/>
      <c r="AD22" s="52"/>
      <c r="AE22" s="52"/>
      <c r="AF22" s="52"/>
      <c r="AG22" s="13"/>
      <c r="AH22" s="13"/>
    </row>
    <row r="23" spans="1:34" ht="20.100000000000001" customHeight="1" x14ac:dyDescent="0.2">
      <c r="B23" s="158"/>
      <c r="C23" s="103"/>
      <c r="D23" s="136"/>
      <c r="E23" s="104"/>
      <c r="F23" s="105"/>
      <c r="G23" s="105"/>
      <c r="H23" s="106"/>
      <c r="I23" s="107"/>
      <c r="J23" s="108"/>
      <c r="K23" s="109"/>
      <c r="L23" s="110"/>
      <c r="M23" s="108"/>
      <c r="N23" s="108"/>
      <c r="O23" s="111"/>
      <c r="P23" s="112"/>
      <c r="Q23" s="108"/>
      <c r="R23" s="113"/>
      <c r="S23" s="114"/>
      <c r="T23" s="115"/>
      <c r="U23" s="159"/>
      <c r="V23" s="25"/>
      <c r="W23" s="102"/>
      <c r="X23" s="11"/>
      <c r="AA23" s="13"/>
      <c r="AB23" s="15"/>
      <c r="AC23" s="52"/>
      <c r="AD23" s="52"/>
      <c r="AE23" s="52"/>
      <c r="AF23" s="52"/>
      <c r="AG23" s="13"/>
      <c r="AH23" s="13"/>
    </row>
    <row r="24" spans="1:34" ht="20.100000000000001" customHeight="1" x14ac:dyDescent="0.2">
      <c r="B24" s="158"/>
      <c r="C24" s="103"/>
      <c r="D24" s="103"/>
      <c r="E24" s="104"/>
      <c r="F24" s="105"/>
      <c r="G24" s="105"/>
      <c r="H24" s="106"/>
      <c r="I24" s="107"/>
      <c r="J24" s="108" t="str">
        <f>IF(B24="","",I24*(B24/12))</f>
        <v/>
      </c>
      <c r="K24" s="109"/>
      <c r="L24" s="110"/>
      <c r="M24" s="108" t="str">
        <f>IF(B24="","",IF(Y24&lt;W24,Y24,W24))</f>
        <v/>
      </c>
      <c r="N24" s="108" t="str">
        <f>IF(B24="","",IF(M24="INPUT","Chk dc",(M24+(B24/12))/2))</f>
        <v/>
      </c>
      <c r="O24" s="111" t="str">
        <f>IF(E24&gt;N24,E24,N24)</f>
        <v/>
      </c>
      <c r="P24" s="112" t="str">
        <f>IF(B24="","",((F24/(C24*(((PI()*(B24/12)^2)/4))))^2/64.4)*(1+L24+(29*$J$18^2*$M$15)/(X24^1.33)))</f>
        <v/>
      </c>
      <c r="Q24" s="108" t="str">
        <f>IF(B24="","",$M$15*$M$14)</f>
        <v/>
      </c>
      <c r="R24" s="113" t="str">
        <f>IF(B24="","",IF(M24="INPUT","Chk dc",O24+P24-Q24))</f>
        <v/>
      </c>
      <c r="S24" s="114" t="str">
        <f>IF(B24="","",IF(M22="INPUT","Chk dc",IF(J24&gt;R24,$I$15+J24,$I$15+R24)))</f>
        <v/>
      </c>
      <c r="T24" s="115"/>
      <c r="U24" s="159" t="str">
        <f>IF(B24="","",IF(M24="INPUT","Input Critical Depth",IF(J24&gt;R24,"INLET CONTROL","OUTLET CONTROL")))</f>
        <v/>
      </c>
      <c r="V24" s="25" t="str">
        <f>IF(B24="","",IF(J24&gt;H24,"CK HW",IF(R24&gt;H24,"CK HW","OK")))</f>
        <v/>
      </c>
      <c r="W24" s="102">
        <f>B24/12</f>
        <v>0</v>
      </c>
      <c r="X24" s="11" t="str">
        <f>IF(B24="","No Data",VLOOKUP(B24,TABLE,3))</f>
        <v>No Data</v>
      </c>
      <c r="Y24" t="str">
        <f>IF(B24="","No Data",0.325*(F24/(B24*C24/12))^0.667+0.083*(B24/12))</f>
        <v>No Data</v>
      </c>
      <c r="Z24" t="str">
        <f>IF(B24="","No Data",Y24/(B24*C24/12))</f>
        <v>No Data</v>
      </c>
      <c r="AA24" s="13"/>
      <c r="AB24" s="15"/>
      <c r="AC24" s="52"/>
      <c r="AD24" s="52"/>
      <c r="AE24" s="52"/>
      <c r="AF24" s="52"/>
      <c r="AG24" s="13"/>
      <c r="AH24" s="13"/>
    </row>
    <row r="25" spans="1:34" ht="20.100000000000001" customHeight="1" thickBot="1" x14ac:dyDescent="0.25">
      <c r="B25" s="190"/>
      <c r="C25" s="191"/>
      <c r="D25" s="191"/>
      <c r="E25" s="192"/>
      <c r="F25" s="193"/>
      <c r="G25" s="193"/>
      <c r="H25" s="194"/>
      <c r="I25" s="195"/>
      <c r="J25" s="196" t="str">
        <f>IF(B25="","",I25*(B25/12))</f>
        <v/>
      </c>
      <c r="K25" s="197"/>
      <c r="L25" s="198"/>
      <c r="M25" s="196" t="str">
        <f>IF(B25="","",IF(Y25&lt;W25,Y25,W25))</f>
        <v/>
      </c>
      <c r="N25" s="196" t="str">
        <f>IF(B25="","",IF(M25="INPUT","Chk dc",(M25+(B25/12))/2))</f>
        <v/>
      </c>
      <c r="O25" s="199" t="str">
        <f>IF(E25&gt;N25,E25,N25)</f>
        <v/>
      </c>
      <c r="P25" s="200" t="str">
        <f>IF(B25="","",((F25/(C25*(((PI()*(B25/12)^2)/4))))^2/64.4)*(1+L25+(29*$J$18^2*$M$15)/(X25^1.33)))</f>
        <v/>
      </c>
      <c r="Q25" s="196" t="str">
        <f>IF(B25="","",$M$15*$M$14)</f>
        <v/>
      </c>
      <c r="R25" s="201" t="str">
        <f>IF(B25="","",IF(M25="INPUT","Chk dc",O25+P25-Q25))</f>
        <v/>
      </c>
      <c r="S25" s="202" t="str">
        <f>IF(B25="","",IF(M24="INPUT","Chk dc",IF(J25&gt;R25,$I$15+J25,$I$15+R25)))</f>
        <v/>
      </c>
      <c r="T25" s="203"/>
      <c r="U25" s="204" t="str">
        <f>IF(B25="","",IF(M25="INPUT","Input Critical Depth",IF(J25&gt;R25,"INLET CONTROL","OUTLET CONTROL")))</f>
        <v/>
      </c>
      <c r="V25" s="25"/>
      <c r="W25" s="102">
        <f>B25/12</f>
        <v>0</v>
      </c>
      <c r="X25" s="11" t="str">
        <f>IF(B25="","No Data",VLOOKUP(B25,TABLE,3))</f>
        <v>No Data</v>
      </c>
      <c r="Y25" t="str">
        <f>IF(B25="","No Data",0.325*(F25/(B25*C25/12))^0.667+0.083*(B25/12))</f>
        <v>No Data</v>
      </c>
      <c r="Z25" t="str">
        <f>IF(B25="","No Data",Y25/(B25*C25/12))</f>
        <v>No Data</v>
      </c>
      <c r="AA25" s="14"/>
      <c r="AB25" s="15"/>
      <c r="AC25" s="52"/>
      <c r="AD25" s="52"/>
      <c r="AE25" s="52"/>
      <c r="AF25" s="52"/>
      <c r="AG25" s="13"/>
      <c r="AH25" s="13"/>
    </row>
    <row r="26" spans="1:34" ht="20.100000000000001" customHeight="1" x14ac:dyDescent="0.2">
      <c r="B26" s="171" t="s">
        <v>175</v>
      </c>
      <c r="C26" s="172"/>
      <c r="D26" s="172"/>
      <c r="E26" s="173"/>
      <c r="F26" s="174"/>
      <c r="G26" s="174"/>
      <c r="H26" s="173"/>
      <c r="I26" s="175"/>
      <c r="J26" s="176"/>
      <c r="K26" s="177"/>
      <c r="L26" s="172"/>
      <c r="M26" s="176"/>
      <c r="N26" s="176"/>
      <c r="O26" s="176"/>
      <c r="P26" s="178"/>
      <c r="Q26" s="176"/>
      <c r="R26" s="176"/>
      <c r="S26" s="176"/>
      <c r="T26" s="173"/>
      <c r="U26" s="179"/>
      <c r="V26" s="25"/>
      <c r="W26" s="102"/>
      <c r="X26" s="11"/>
      <c r="AA26" s="13"/>
      <c r="AB26" s="15"/>
      <c r="AC26" s="52"/>
      <c r="AD26" s="52"/>
      <c r="AE26" s="52"/>
      <c r="AF26" s="52"/>
      <c r="AG26" s="13"/>
      <c r="AH26" s="13"/>
    </row>
    <row r="27" spans="1:34" ht="20.100000000000001" customHeight="1" x14ac:dyDescent="0.2">
      <c r="B27" s="160"/>
      <c r="C27" s="116"/>
      <c r="D27" s="116"/>
      <c r="E27" s="117"/>
      <c r="F27" s="118"/>
      <c r="G27" s="118"/>
      <c r="H27" s="117"/>
      <c r="I27" s="119"/>
      <c r="J27" s="120"/>
      <c r="K27" s="121"/>
      <c r="L27" s="116"/>
      <c r="M27" s="120"/>
      <c r="N27" s="120"/>
      <c r="O27" s="120"/>
      <c r="P27" s="122"/>
      <c r="Q27" s="120"/>
      <c r="R27" s="120"/>
      <c r="S27" s="120"/>
      <c r="T27" s="117"/>
      <c r="U27" s="161"/>
      <c r="V27" s="25"/>
      <c r="W27" s="102"/>
      <c r="X27" s="11"/>
      <c r="AA27" s="13"/>
      <c r="AB27" s="15"/>
      <c r="AC27" s="52"/>
      <c r="AD27" s="52"/>
      <c r="AE27" s="52"/>
      <c r="AF27" s="52"/>
      <c r="AG27" s="13"/>
      <c r="AH27" s="13"/>
    </row>
    <row r="28" spans="1:34" ht="20.100000000000001" customHeight="1" x14ac:dyDescent="0.2">
      <c r="A28" s="13"/>
      <c r="B28" s="160"/>
      <c r="C28" s="116"/>
      <c r="D28" s="116"/>
      <c r="E28" s="117"/>
      <c r="F28" s="118"/>
      <c r="G28" s="118"/>
      <c r="H28" s="117"/>
      <c r="I28" s="119"/>
      <c r="J28" s="120"/>
      <c r="K28" s="121"/>
      <c r="L28" s="116"/>
      <c r="M28" s="120"/>
      <c r="N28" s="120"/>
      <c r="O28" s="120"/>
      <c r="P28" s="122"/>
      <c r="Q28" s="120"/>
      <c r="R28" s="120"/>
      <c r="S28" s="120"/>
      <c r="T28" s="117"/>
      <c r="U28" s="161"/>
      <c r="V28" s="25"/>
      <c r="W28" s="102"/>
      <c r="X28" s="11"/>
      <c r="AA28" s="14"/>
      <c r="AB28" s="15"/>
      <c r="AC28" s="52"/>
      <c r="AD28" s="52"/>
      <c r="AE28" s="52"/>
      <c r="AF28" s="52"/>
      <c r="AG28" s="13"/>
      <c r="AH28" s="13"/>
    </row>
    <row r="29" spans="1:34" ht="20.100000000000001" customHeight="1" x14ac:dyDescent="0.2">
      <c r="A29" s="13"/>
      <c r="B29" s="160"/>
      <c r="C29" s="116"/>
      <c r="D29" s="116"/>
      <c r="E29" s="117"/>
      <c r="F29" s="118"/>
      <c r="G29" s="118"/>
      <c r="H29" s="117"/>
      <c r="I29" s="119"/>
      <c r="J29" s="120"/>
      <c r="K29" s="121"/>
      <c r="L29" s="116"/>
      <c r="M29" s="120"/>
      <c r="N29" s="120"/>
      <c r="O29" s="120"/>
      <c r="P29" s="122"/>
      <c r="Q29" s="120"/>
      <c r="R29" s="120"/>
      <c r="S29" s="120"/>
      <c r="T29" s="117"/>
      <c r="U29" s="161"/>
      <c r="V29" s="25"/>
      <c r="W29" s="102"/>
      <c r="X29" s="11"/>
      <c r="AA29" s="13"/>
      <c r="AB29" s="15"/>
      <c r="AC29" s="52"/>
      <c r="AD29" s="52"/>
      <c r="AE29" s="52"/>
      <c r="AF29" s="52"/>
      <c r="AG29" s="13"/>
      <c r="AH29" s="13"/>
    </row>
    <row r="30" spans="1:34" ht="20.100000000000001" customHeight="1" x14ac:dyDescent="0.2">
      <c r="A30" s="13"/>
      <c r="B30" s="160"/>
      <c r="C30" s="116"/>
      <c r="D30" s="116"/>
      <c r="E30" s="117"/>
      <c r="F30" s="118"/>
      <c r="G30" s="118"/>
      <c r="H30" s="117"/>
      <c r="I30" s="119"/>
      <c r="J30" s="120"/>
      <c r="K30" s="121"/>
      <c r="L30" s="116"/>
      <c r="M30" s="120"/>
      <c r="N30" s="120"/>
      <c r="O30" s="120"/>
      <c r="P30" s="122"/>
      <c r="Q30" s="120"/>
      <c r="R30" s="120"/>
      <c r="S30" s="120"/>
      <c r="T30" s="117"/>
      <c r="U30" s="161"/>
      <c r="V30" s="25"/>
      <c r="W30" s="102"/>
      <c r="X30" s="11"/>
      <c r="AA30" s="14"/>
      <c r="AB30" s="15"/>
      <c r="AC30" s="52"/>
      <c r="AD30" s="52"/>
      <c r="AE30" s="52"/>
      <c r="AF30" s="52"/>
      <c r="AG30" s="13"/>
      <c r="AH30" s="13"/>
    </row>
    <row r="31" spans="1:34" ht="20.100000000000001" customHeight="1" x14ac:dyDescent="0.2">
      <c r="A31" s="13"/>
      <c r="B31" s="160"/>
      <c r="C31" s="116"/>
      <c r="D31" s="116"/>
      <c r="E31" s="117"/>
      <c r="F31" s="118"/>
      <c r="G31" s="118"/>
      <c r="H31" s="117"/>
      <c r="I31" s="119"/>
      <c r="J31" s="120"/>
      <c r="K31" s="121"/>
      <c r="L31" s="116"/>
      <c r="M31" s="120"/>
      <c r="N31" s="120"/>
      <c r="O31" s="120"/>
      <c r="P31" s="122"/>
      <c r="Q31" s="120"/>
      <c r="R31" s="120"/>
      <c r="S31" s="120"/>
      <c r="T31" s="117"/>
      <c r="U31" s="161"/>
      <c r="V31" s="25"/>
      <c r="W31" s="127"/>
      <c r="X31" s="11"/>
      <c r="AA31" s="13"/>
      <c r="AB31" s="15"/>
      <c r="AC31" s="52"/>
      <c r="AD31" s="52"/>
      <c r="AE31" s="53"/>
      <c r="AF31" s="52"/>
      <c r="AG31" s="13"/>
      <c r="AH31" s="13"/>
    </row>
    <row r="32" spans="1:34" ht="20.100000000000001" customHeight="1" x14ac:dyDescent="0.2">
      <c r="A32" s="13"/>
      <c r="B32" s="160"/>
      <c r="C32" s="116"/>
      <c r="D32" s="116"/>
      <c r="E32" s="117"/>
      <c r="F32" s="118"/>
      <c r="G32" s="118"/>
      <c r="H32" s="117"/>
      <c r="I32" s="119"/>
      <c r="J32" s="120"/>
      <c r="K32" s="121"/>
      <c r="L32" s="116"/>
      <c r="M32" s="120"/>
      <c r="N32" s="120"/>
      <c r="O32" s="120"/>
      <c r="P32" s="122"/>
      <c r="Q32" s="120"/>
      <c r="R32" s="120"/>
      <c r="S32" s="120"/>
      <c r="T32" s="117"/>
      <c r="U32" s="161"/>
      <c r="V32" s="25"/>
      <c r="W32" s="102"/>
      <c r="X32" s="11"/>
      <c r="AA32" s="13"/>
      <c r="AB32" s="15"/>
      <c r="AC32" s="52"/>
      <c r="AD32" s="52"/>
      <c r="AE32" s="53"/>
      <c r="AF32" s="52"/>
      <c r="AG32" s="13"/>
      <c r="AH32" s="13"/>
    </row>
    <row r="33" spans="1:34" ht="20.100000000000001" customHeight="1" thickBot="1" x14ac:dyDescent="0.25">
      <c r="A33" s="13"/>
      <c r="B33" s="162"/>
      <c r="C33" s="163"/>
      <c r="D33" s="163"/>
      <c r="E33" s="164"/>
      <c r="F33" s="165"/>
      <c r="G33" s="165"/>
      <c r="H33" s="164"/>
      <c r="I33" s="166"/>
      <c r="J33" s="167"/>
      <c r="K33" s="168"/>
      <c r="L33" s="163"/>
      <c r="M33" s="167"/>
      <c r="N33" s="167"/>
      <c r="O33" s="167"/>
      <c r="P33" s="169"/>
      <c r="Q33" s="167"/>
      <c r="R33" s="167"/>
      <c r="S33" s="167"/>
      <c r="T33" s="164"/>
      <c r="U33" s="170"/>
      <c r="V33" s="25"/>
      <c r="W33" s="102"/>
      <c r="X33" s="11"/>
      <c r="AA33" s="13"/>
      <c r="AB33" s="15"/>
      <c r="AC33" s="52"/>
      <c r="AD33" s="52"/>
      <c r="AE33" s="53"/>
      <c r="AF33" s="52"/>
      <c r="AG33" s="13"/>
      <c r="AH33" s="13"/>
    </row>
    <row r="34" spans="1:34" ht="6.75" customHeight="1" x14ac:dyDescent="0.2">
      <c r="A34" s="13"/>
      <c r="B34" s="116"/>
      <c r="C34" s="116"/>
      <c r="D34" s="116"/>
      <c r="E34" s="117"/>
      <c r="F34" s="118"/>
      <c r="G34" s="118"/>
      <c r="H34" s="117"/>
      <c r="I34" s="119"/>
      <c r="J34" s="120"/>
      <c r="K34" s="121"/>
      <c r="L34" s="116"/>
      <c r="M34" s="120"/>
      <c r="N34" s="120"/>
      <c r="O34" s="120"/>
      <c r="P34" s="122"/>
      <c r="Q34" s="120"/>
      <c r="R34" s="120"/>
      <c r="S34" s="120"/>
      <c r="T34" s="117"/>
      <c r="U34" s="218"/>
      <c r="V34" s="25"/>
      <c r="W34" s="102"/>
      <c r="X34" s="11"/>
      <c r="AA34" s="13"/>
      <c r="AB34" s="15"/>
      <c r="AC34" s="52"/>
      <c r="AD34" s="52"/>
      <c r="AE34" s="53"/>
      <c r="AF34" s="52"/>
      <c r="AG34" s="13"/>
      <c r="AH34" s="13"/>
    </row>
    <row r="35" spans="1:34" ht="16.5" customHeight="1" x14ac:dyDescent="0.35">
      <c r="B35" s="40" t="s">
        <v>185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AA35" s="14"/>
      <c r="AB35" s="15"/>
      <c r="AC35" s="52"/>
      <c r="AD35" s="52"/>
      <c r="AE35" s="53"/>
      <c r="AF35" s="53"/>
      <c r="AG35" s="13"/>
      <c r="AH35" s="13"/>
    </row>
    <row r="36" spans="1:34" ht="16.5" customHeight="1" x14ac:dyDescent="0.2">
      <c r="B36" s="40" t="s">
        <v>81</v>
      </c>
      <c r="C36" s="40"/>
      <c r="D36" s="40"/>
      <c r="E36" s="40"/>
      <c r="F36" s="40"/>
      <c r="G36" s="43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AA36" s="13"/>
      <c r="AB36" s="15"/>
      <c r="AC36" s="52"/>
      <c r="AD36" s="52"/>
      <c r="AE36" s="53"/>
      <c r="AF36" s="53"/>
      <c r="AG36" s="13"/>
      <c r="AH36" s="13"/>
    </row>
    <row r="37" spans="1:34" ht="20.100000000000001" customHeigh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AA37" s="13"/>
      <c r="AB37" s="15"/>
      <c r="AC37" s="52"/>
      <c r="AD37" s="52"/>
      <c r="AE37" s="53"/>
      <c r="AF37" s="53"/>
      <c r="AG37" s="13"/>
      <c r="AH37" s="13"/>
    </row>
    <row r="38" spans="1:34" ht="20.100000000000001" customHeight="1" x14ac:dyDescent="0.2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AA38" s="14"/>
      <c r="AB38" s="15"/>
      <c r="AC38" s="52"/>
      <c r="AD38" s="52"/>
      <c r="AE38" s="53"/>
      <c r="AF38" s="53"/>
      <c r="AG38" s="13"/>
      <c r="AH38" s="13"/>
    </row>
    <row r="39" spans="1:34" x14ac:dyDescent="0.2">
      <c r="AA39" s="13"/>
      <c r="AB39" s="15"/>
      <c r="AC39" s="52"/>
      <c r="AD39" s="52"/>
      <c r="AE39" s="53"/>
      <c r="AF39" s="53"/>
      <c r="AG39" s="13"/>
      <c r="AH39" s="13"/>
    </row>
    <row r="40" spans="1:34" x14ac:dyDescent="0.2">
      <c r="AA40" s="13"/>
      <c r="AB40" s="15"/>
      <c r="AC40" s="52"/>
      <c r="AD40" s="52"/>
      <c r="AE40" s="53"/>
      <c r="AF40" s="53"/>
      <c r="AG40" s="13"/>
      <c r="AH40" s="13"/>
    </row>
    <row r="41" spans="1:34" x14ac:dyDescent="0.2">
      <c r="R41" s="11"/>
      <c r="AA41" s="14"/>
      <c r="AB41" s="15"/>
      <c r="AC41" s="52"/>
      <c r="AD41" s="52"/>
      <c r="AE41" s="53"/>
      <c r="AF41" s="53"/>
      <c r="AG41" s="13"/>
      <c r="AH41" s="13"/>
    </row>
    <row r="42" spans="1:34" x14ac:dyDescent="0.2">
      <c r="R42" s="11"/>
      <c r="AA42" s="13"/>
      <c r="AB42" s="15"/>
      <c r="AC42" s="52"/>
      <c r="AD42" s="52"/>
      <c r="AE42" s="53"/>
      <c r="AF42" s="53"/>
      <c r="AG42" s="13"/>
      <c r="AH42" s="13"/>
    </row>
    <row r="43" spans="1:34" x14ac:dyDescent="0.2">
      <c r="AA43" s="14"/>
      <c r="AB43" s="15"/>
      <c r="AC43" s="52"/>
      <c r="AD43" s="52"/>
      <c r="AE43" s="53"/>
      <c r="AF43" s="53"/>
      <c r="AG43" s="13"/>
      <c r="AH43" s="13"/>
    </row>
    <row r="44" spans="1:34" x14ac:dyDescent="0.2">
      <c r="AA44" s="13"/>
      <c r="AB44" s="15"/>
      <c r="AC44" s="52"/>
      <c r="AD44" s="52"/>
      <c r="AE44" s="53"/>
      <c r="AF44" s="53"/>
      <c r="AG44" s="13"/>
      <c r="AH44" s="13"/>
    </row>
    <row r="45" spans="1:34" x14ac:dyDescent="0.2">
      <c r="AA45" s="14"/>
      <c r="AB45" s="15"/>
      <c r="AC45" s="52"/>
      <c r="AD45" s="52"/>
      <c r="AE45" s="53"/>
      <c r="AF45" s="53"/>
      <c r="AG45" s="13"/>
      <c r="AH45" s="13"/>
    </row>
    <row r="46" spans="1:34" x14ac:dyDescent="0.2">
      <c r="AA46" s="13"/>
      <c r="AB46" s="15"/>
      <c r="AC46" s="52"/>
      <c r="AD46" s="52"/>
      <c r="AE46" s="53"/>
      <c r="AF46" s="53"/>
      <c r="AG46" s="13"/>
      <c r="AH46" s="13"/>
    </row>
    <row r="47" spans="1:34" x14ac:dyDescent="0.2">
      <c r="AA47" s="13"/>
      <c r="AB47" s="13"/>
      <c r="AC47" s="13"/>
      <c r="AD47" s="13"/>
      <c r="AE47" s="13"/>
      <c r="AF47" s="13"/>
      <c r="AG47" s="13"/>
      <c r="AH47" s="13"/>
    </row>
    <row r="48" spans="1:34" x14ac:dyDescent="0.2">
      <c r="AA48" s="13"/>
      <c r="AB48" s="13"/>
      <c r="AC48" s="13"/>
      <c r="AD48" s="13"/>
      <c r="AE48" s="13"/>
      <c r="AF48" s="13"/>
      <c r="AG48" s="13"/>
      <c r="AH48" s="13"/>
    </row>
    <row r="49" spans="27:34" x14ac:dyDescent="0.2">
      <c r="AA49" s="13"/>
      <c r="AB49" s="13"/>
      <c r="AC49" s="13"/>
      <c r="AD49" s="13"/>
      <c r="AE49" s="13"/>
      <c r="AF49" s="13"/>
      <c r="AG49" s="13"/>
      <c r="AH49" s="13"/>
    </row>
    <row r="50" spans="27:34" x14ac:dyDescent="0.2">
      <c r="AA50" s="13"/>
      <c r="AB50" s="13"/>
      <c r="AC50" s="13"/>
      <c r="AD50" s="13"/>
      <c r="AE50" s="13"/>
      <c r="AF50" s="13"/>
      <c r="AG50" s="13"/>
      <c r="AH50" s="13"/>
    </row>
    <row r="51" spans="27:34" x14ac:dyDescent="0.2">
      <c r="AA51" s="13"/>
      <c r="AB51" s="13"/>
      <c r="AC51" s="13"/>
      <c r="AD51" s="13"/>
      <c r="AE51" s="13"/>
      <c r="AF51" s="13"/>
      <c r="AG51" s="13"/>
      <c r="AH51" s="13"/>
    </row>
    <row r="52" spans="27:34" x14ac:dyDescent="0.2">
      <c r="AA52" s="13"/>
      <c r="AB52" s="13"/>
      <c r="AC52" s="13"/>
      <c r="AD52" s="13"/>
      <c r="AE52" s="13"/>
      <c r="AF52" s="13"/>
      <c r="AG52" s="13"/>
      <c r="AH52" s="13"/>
    </row>
    <row r="53" spans="27:34" x14ac:dyDescent="0.2">
      <c r="AA53" s="13"/>
      <c r="AB53" s="13"/>
      <c r="AC53" s="13"/>
      <c r="AD53" s="13"/>
      <c r="AE53" s="13"/>
      <c r="AF53" s="13"/>
      <c r="AG53" s="13"/>
      <c r="AH53" s="13"/>
    </row>
  </sheetData>
  <mergeCells count="16">
    <mergeCell ref="L4:M4"/>
    <mergeCell ref="E16:F16"/>
    <mergeCell ref="D4:E4"/>
    <mergeCell ref="D3:E3"/>
    <mergeCell ref="H4:I4"/>
    <mergeCell ref="E8:F8"/>
    <mergeCell ref="E17:F17"/>
    <mergeCell ref="B19:C19"/>
    <mergeCell ref="L19:R19"/>
    <mergeCell ref="E9:F9"/>
    <mergeCell ref="E10:F10"/>
    <mergeCell ref="E11:F11"/>
    <mergeCell ref="E12:F12"/>
    <mergeCell ref="E13:F13"/>
    <mergeCell ref="E14:F14"/>
    <mergeCell ref="E15:F15"/>
  </mergeCells>
  <pageMargins left="0.2" right="0.2" top="0.39" bottom="0.21" header="0.22" footer="0.17"/>
  <pageSetup scale="87" orientation="landscape" horizontalDpi="180" verticalDpi="180" r:id="rId1"/>
  <headerFooter alignWithMargins="0">
    <oddFooter>&amp;Rprint date: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showGridLines="0" topLeftCell="B1" workbookViewId="0">
      <selection activeCell="C4" sqref="C4"/>
    </sheetView>
  </sheetViews>
  <sheetFormatPr defaultRowHeight="12.75" x14ac:dyDescent="0.2"/>
  <cols>
    <col min="2" max="2" width="12" customWidth="1"/>
    <col min="3" max="3" width="12.28515625" customWidth="1"/>
    <col min="4" max="4" width="17.85546875" customWidth="1"/>
    <col min="5" max="5" width="20.85546875" customWidth="1"/>
    <col min="7" max="7" width="12.140625" customWidth="1"/>
    <col min="8" max="8" width="4.28515625" customWidth="1"/>
  </cols>
  <sheetData>
    <row r="1" spans="2:6" x14ac:dyDescent="0.2">
      <c r="B1" t="s">
        <v>95</v>
      </c>
      <c r="C1" s="79" t="e">
        <f>'PIPE DATA SHEET'!D4:E4</f>
        <v>#VALUE!</v>
      </c>
    </row>
    <row r="2" spans="2:6" x14ac:dyDescent="0.2">
      <c r="B2" t="s">
        <v>97</v>
      </c>
      <c r="C2" s="80" t="e">
        <f>'PIPE DATA SHEET'!D3:E3</f>
        <v>#VALUE!</v>
      </c>
    </row>
    <row r="3" spans="2:6" x14ac:dyDescent="0.2">
      <c r="B3" t="s">
        <v>142</v>
      </c>
      <c r="C3" s="81">
        <f>'PIPE DATA SHEET'!E8</f>
        <v>0</v>
      </c>
    </row>
    <row r="4" spans="2:6" x14ac:dyDescent="0.2">
      <c r="B4" t="s">
        <v>143</v>
      </c>
      <c r="C4" s="79">
        <f>'PIPE DATA SHEET'!E9</f>
        <v>0</v>
      </c>
    </row>
    <row r="6" spans="2:6" x14ac:dyDescent="0.2">
      <c r="B6" s="61" t="s">
        <v>144</v>
      </c>
    </row>
    <row r="7" spans="2:6" x14ac:dyDescent="0.2">
      <c r="B7" s="4" t="s">
        <v>145</v>
      </c>
      <c r="E7" s="18"/>
    </row>
    <row r="8" spans="2:6" x14ac:dyDescent="0.2">
      <c r="B8" t="s">
        <v>135</v>
      </c>
      <c r="D8" s="95"/>
      <c r="E8" s="18" t="s">
        <v>136</v>
      </c>
    </row>
    <row r="9" spans="2:6" x14ac:dyDescent="0.2">
      <c r="B9" s="82" t="s">
        <v>146</v>
      </c>
      <c r="C9" s="82"/>
      <c r="D9" s="96"/>
    </row>
    <row r="11" spans="2:6" x14ac:dyDescent="0.2">
      <c r="B11" s="82" t="s">
        <v>147</v>
      </c>
      <c r="C11" s="82"/>
      <c r="D11" s="95"/>
    </row>
    <row r="12" spans="2:6" x14ac:dyDescent="0.2">
      <c r="C12" t="s">
        <v>148</v>
      </c>
      <c r="E12" s="2">
        <v>1.4</v>
      </c>
      <c r="F12" s="83" t="s">
        <v>149</v>
      </c>
    </row>
    <row r="13" spans="2:6" x14ac:dyDescent="0.2">
      <c r="C13" t="s">
        <v>150</v>
      </c>
      <c r="E13" s="2">
        <v>1.2</v>
      </c>
      <c r="F13" s="83" t="s">
        <v>151</v>
      </c>
    </row>
    <row r="14" spans="2:6" x14ac:dyDescent="0.2">
      <c r="C14" t="s">
        <v>152</v>
      </c>
      <c r="E14" s="2">
        <v>1</v>
      </c>
      <c r="F14" s="83" t="s">
        <v>153</v>
      </c>
    </row>
    <row r="15" spans="2:6" x14ac:dyDescent="0.2">
      <c r="C15" t="s">
        <v>154</v>
      </c>
      <c r="E15" s="2">
        <v>0.8</v>
      </c>
      <c r="F15" s="83" t="s">
        <v>155</v>
      </c>
    </row>
    <row r="17" spans="2:7" x14ac:dyDescent="0.2">
      <c r="B17" s="84"/>
      <c r="C17" s="85" t="s">
        <v>156</v>
      </c>
      <c r="D17" s="86" t="s">
        <v>157</v>
      </c>
      <c r="E17" s="87" t="s">
        <v>158</v>
      </c>
      <c r="F17" s="85" t="s">
        <v>38</v>
      </c>
      <c r="G17" s="85" t="s">
        <v>159</v>
      </c>
    </row>
    <row r="18" spans="2:7" x14ac:dyDescent="0.2">
      <c r="B18" s="84" t="s">
        <v>160</v>
      </c>
      <c r="C18" s="85"/>
      <c r="D18" s="88">
        <v>0.57999999999999996</v>
      </c>
      <c r="E18" s="58">
        <f t="shared" ref="E18:E24" si="0">$D$11</f>
        <v>0</v>
      </c>
      <c r="F18" s="89">
        <f t="shared" ref="F18:F24" si="1">$C$19*D18*E18</f>
        <v>0</v>
      </c>
      <c r="G18" s="98"/>
    </row>
    <row r="19" spans="2:7" x14ac:dyDescent="0.2">
      <c r="B19" s="90" t="s">
        <v>137</v>
      </c>
      <c r="C19" s="97"/>
      <c r="D19" s="91">
        <v>1</v>
      </c>
      <c r="E19" s="58">
        <f t="shared" si="0"/>
        <v>0</v>
      </c>
      <c r="F19" s="89">
        <f t="shared" si="1"/>
        <v>0</v>
      </c>
      <c r="G19" s="99"/>
    </row>
    <row r="20" spans="2:7" x14ac:dyDescent="0.2">
      <c r="B20" s="90" t="s">
        <v>161</v>
      </c>
      <c r="C20" s="10"/>
      <c r="D20" s="58">
        <v>1.35</v>
      </c>
      <c r="E20" s="58">
        <f t="shared" si="0"/>
        <v>0</v>
      </c>
      <c r="F20" s="89">
        <f t="shared" si="1"/>
        <v>0</v>
      </c>
      <c r="G20" s="99"/>
    </row>
    <row r="21" spans="2:7" x14ac:dyDescent="0.2">
      <c r="B21" s="90" t="s">
        <v>138</v>
      </c>
      <c r="C21" s="10"/>
      <c r="D21" s="58">
        <v>1.85</v>
      </c>
      <c r="E21" s="58">
        <f t="shared" si="0"/>
        <v>0</v>
      </c>
      <c r="F21" s="89">
        <f t="shared" si="1"/>
        <v>0</v>
      </c>
      <c r="G21" s="99"/>
    </row>
    <row r="22" spans="2:7" x14ac:dyDescent="0.2">
      <c r="B22" s="90" t="s">
        <v>139</v>
      </c>
      <c r="C22" s="10"/>
      <c r="D22" s="58">
        <v>2.15</v>
      </c>
      <c r="E22" s="58">
        <f t="shared" si="0"/>
        <v>0</v>
      </c>
      <c r="F22" s="89">
        <f t="shared" si="1"/>
        <v>0</v>
      </c>
      <c r="G22" s="99"/>
    </row>
    <row r="23" spans="2:7" x14ac:dyDescent="0.2">
      <c r="B23" s="90" t="s">
        <v>140</v>
      </c>
      <c r="C23" s="10"/>
      <c r="D23" s="58">
        <v>2.8</v>
      </c>
      <c r="E23" s="58">
        <f t="shared" si="0"/>
        <v>0</v>
      </c>
      <c r="F23" s="89">
        <f t="shared" si="1"/>
        <v>0</v>
      </c>
      <c r="G23" s="99"/>
    </row>
    <row r="24" spans="2:7" x14ac:dyDescent="0.2">
      <c r="B24" s="90" t="s">
        <v>141</v>
      </c>
      <c r="C24" s="10"/>
      <c r="D24" s="58">
        <v>3.66</v>
      </c>
      <c r="E24" s="58">
        <f t="shared" si="0"/>
        <v>0</v>
      </c>
      <c r="F24" s="89">
        <f t="shared" si="1"/>
        <v>0</v>
      </c>
      <c r="G24" s="99"/>
    </row>
    <row r="26" spans="2:7" x14ac:dyDescent="0.2">
      <c r="B26" t="s">
        <v>172</v>
      </c>
    </row>
    <row r="28" spans="2:7" x14ac:dyDescent="0.2">
      <c r="B28" s="61" t="s">
        <v>162</v>
      </c>
    </row>
    <row r="29" spans="2:7" x14ac:dyDescent="0.2">
      <c r="B29" t="s">
        <v>163</v>
      </c>
      <c r="C29" t="s">
        <v>164</v>
      </c>
      <c r="D29" s="2"/>
      <c r="E29" s="3" t="s">
        <v>165</v>
      </c>
      <c r="F29" s="2">
        <f>D29*0.5</f>
        <v>0</v>
      </c>
    </row>
    <row r="30" spans="2:7" x14ac:dyDescent="0.2">
      <c r="C30" t="s">
        <v>166</v>
      </c>
      <c r="D30" s="92"/>
      <c r="E30" s="3" t="s">
        <v>165</v>
      </c>
      <c r="F30" s="92">
        <f>D30*0.9</f>
        <v>0</v>
      </c>
    </row>
    <row r="31" spans="2:7" x14ac:dyDescent="0.2">
      <c r="C31" t="s">
        <v>167</v>
      </c>
      <c r="D31" s="93">
        <f>SUM(D29:D30)</f>
        <v>0</v>
      </c>
      <c r="E31" s="4" t="s">
        <v>168</v>
      </c>
      <c r="F31" s="93">
        <f>SUM(F29:F30)</f>
        <v>0</v>
      </c>
    </row>
    <row r="32" spans="2:7" x14ac:dyDescent="0.2">
      <c r="D32" s="16"/>
      <c r="F32" s="16"/>
    </row>
    <row r="33" spans="2:6" x14ac:dyDescent="0.2">
      <c r="C33" s="79" t="s">
        <v>169</v>
      </c>
      <c r="D33" s="92" t="s">
        <v>170</v>
      </c>
      <c r="F33" s="16"/>
    </row>
    <row r="34" spans="2:6" x14ac:dyDescent="0.2">
      <c r="B34" t="s">
        <v>137</v>
      </c>
      <c r="C34" s="2"/>
      <c r="D34" s="64">
        <f>$C$42*C34</f>
        <v>0</v>
      </c>
      <c r="F34" s="16"/>
    </row>
    <row r="35" spans="2:6" x14ac:dyDescent="0.2">
      <c r="B35" t="s">
        <v>138</v>
      </c>
      <c r="C35" s="2"/>
      <c r="D35" s="64">
        <f>$C$42*C35</f>
        <v>0</v>
      </c>
      <c r="F35" s="16"/>
    </row>
    <row r="36" spans="2:6" x14ac:dyDescent="0.2">
      <c r="B36" t="s">
        <v>139</v>
      </c>
      <c r="C36" s="2"/>
      <c r="D36" s="64">
        <f>$C$42*C36</f>
        <v>0</v>
      </c>
      <c r="F36" s="16"/>
    </row>
    <row r="37" spans="2:6" x14ac:dyDescent="0.2">
      <c r="B37" t="s">
        <v>141</v>
      </c>
      <c r="C37" s="2"/>
      <c r="D37" s="64">
        <f>$C$42*C37</f>
        <v>0</v>
      </c>
    </row>
    <row r="41" spans="2:6" x14ac:dyDescent="0.2">
      <c r="C41" s="9"/>
    </row>
  </sheetData>
  <pageMargins left="0.3" right="0.28000000000000003" top="0.75" bottom="0.62" header="0.44" footer="0.5"/>
  <pageSetup orientation="landscape" r:id="rId1"/>
  <headerFooter alignWithMargins="0">
    <oddHeader>&amp;RPrint Date:&amp;D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32" sqref="B32:D45"/>
    </sheetView>
  </sheetViews>
  <sheetFormatPr defaultRowHeight="12.75" x14ac:dyDescent="0.2"/>
  <sheetData>
    <row r="2" spans="2:8" x14ac:dyDescent="0.2">
      <c r="C2" t="s">
        <v>44</v>
      </c>
    </row>
    <row r="3" spans="2:8" x14ac:dyDescent="0.2">
      <c r="C3" t="s">
        <v>57</v>
      </c>
      <c r="D3" s="3" t="s">
        <v>58</v>
      </c>
      <c r="E3" t="s">
        <v>59</v>
      </c>
      <c r="F3" t="s">
        <v>60</v>
      </c>
      <c r="G3" t="s">
        <v>60</v>
      </c>
    </row>
    <row r="4" spans="2:8" x14ac:dyDescent="0.2">
      <c r="C4" t="s">
        <v>65</v>
      </c>
      <c r="D4" s="3" t="s">
        <v>66</v>
      </c>
      <c r="E4" s="2" t="s">
        <v>103</v>
      </c>
      <c r="F4" t="s">
        <v>67</v>
      </c>
      <c r="G4" t="s">
        <v>68</v>
      </c>
    </row>
    <row r="5" spans="2:8" x14ac:dyDescent="0.2">
      <c r="C5" s="5">
        <v>12</v>
      </c>
      <c r="D5" s="11">
        <f>3.14*(C5/12)^2/4</f>
        <v>0.78500000000000003</v>
      </c>
      <c r="E5" s="11">
        <f>D5/(2*3.14*(C5/24))</f>
        <v>0.25</v>
      </c>
      <c r="F5" s="11">
        <f>(1.486/0.012)*D5*E5^0.667</f>
        <v>38.559660892537501</v>
      </c>
      <c r="G5" s="11">
        <f>(1.486/0.024)*D5*E5^0.667</f>
        <v>19.27983044626875</v>
      </c>
    </row>
    <row r="6" spans="2:8" x14ac:dyDescent="0.2">
      <c r="C6" s="5">
        <v>15</v>
      </c>
      <c r="D6" s="11">
        <f t="shared" ref="D6:D28" si="0">3.14*(C6/12)^2/4</f>
        <v>1.2265625</v>
      </c>
      <c r="E6" s="11">
        <f t="shared" ref="E6:E28" si="1">D6/(2*3.14*(C6/24))</f>
        <v>0.3125</v>
      </c>
      <c r="F6" s="11">
        <f t="shared" ref="F6:F28" si="2">(1.486/0.012)*D6*E6^0.667</f>
        <v>69.918517392235429</v>
      </c>
      <c r="G6" s="12"/>
    </row>
    <row r="7" spans="2:8" x14ac:dyDescent="0.2">
      <c r="B7" s="3" t="s">
        <v>69</v>
      </c>
      <c r="C7" s="5">
        <v>15</v>
      </c>
      <c r="D7" s="11">
        <f t="shared" si="0"/>
        <v>1.2265625</v>
      </c>
      <c r="E7" s="11">
        <f t="shared" si="1"/>
        <v>0.3125</v>
      </c>
      <c r="F7" s="11">
        <f t="shared" si="2"/>
        <v>69.918517392235429</v>
      </c>
      <c r="G7" s="11">
        <f t="shared" ref="G7:G15" si="3">(1.486/0.024)*D7*E7^0.667</f>
        <v>34.959258696117715</v>
      </c>
    </row>
    <row r="8" spans="2:8" x14ac:dyDescent="0.2">
      <c r="C8" s="5">
        <v>18</v>
      </c>
      <c r="D8" s="11">
        <f t="shared" si="0"/>
        <v>1.7662500000000001</v>
      </c>
      <c r="E8" s="11">
        <f t="shared" si="1"/>
        <v>0.375</v>
      </c>
      <c r="F8" s="11">
        <f t="shared" si="2"/>
        <v>113.70212825549415</v>
      </c>
      <c r="G8" s="11">
        <f t="shared" si="3"/>
        <v>56.851064127747073</v>
      </c>
    </row>
    <row r="9" spans="2:8" x14ac:dyDescent="0.2">
      <c r="C9" s="5">
        <v>24</v>
      </c>
      <c r="D9" s="11">
        <f t="shared" si="0"/>
        <v>3.14</v>
      </c>
      <c r="E9" s="11">
        <f t="shared" si="1"/>
        <v>0.5</v>
      </c>
      <c r="F9" s="11">
        <f t="shared" si="2"/>
        <v>244.89516131807346</v>
      </c>
      <c r="G9" s="11">
        <f t="shared" si="3"/>
        <v>122.44758065903673</v>
      </c>
    </row>
    <row r="10" spans="2:8" x14ac:dyDescent="0.2">
      <c r="C10" s="5">
        <v>30</v>
      </c>
      <c r="D10" s="11">
        <f t="shared" si="0"/>
        <v>4.90625</v>
      </c>
      <c r="E10" s="11">
        <f t="shared" si="1"/>
        <v>0.625</v>
      </c>
      <c r="F10" s="11">
        <f t="shared" si="2"/>
        <v>444.05749945808782</v>
      </c>
      <c r="G10" s="12"/>
    </row>
    <row r="11" spans="2:8" x14ac:dyDescent="0.2">
      <c r="B11" s="14"/>
      <c r="C11" s="15">
        <v>33</v>
      </c>
      <c r="D11" s="11">
        <f t="shared" si="0"/>
        <v>5.9365625</v>
      </c>
      <c r="E11" s="11">
        <f t="shared" si="1"/>
        <v>0.6875</v>
      </c>
      <c r="F11" s="11">
        <f t="shared" si="2"/>
        <v>572.57647475734905</v>
      </c>
      <c r="G11" s="11">
        <f t="shared" si="3"/>
        <v>286.28823737867452</v>
      </c>
      <c r="H11" s="13"/>
    </row>
    <row r="12" spans="2:8" x14ac:dyDescent="0.2">
      <c r="B12" s="13"/>
      <c r="C12" s="15">
        <v>36</v>
      </c>
      <c r="D12" s="11">
        <f t="shared" si="0"/>
        <v>7.0650000000000004</v>
      </c>
      <c r="E12" s="11">
        <f t="shared" si="1"/>
        <v>0.75</v>
      </c>
      <c r="F12" s="11">
        <f t="shared" si="2"/>
        <v>722.13034027813273</v>
      </c>
      <c r="G12" s="11">
        <f t="shared" si="3"/>
        <v>361.06517013906637</v>
      </c>
      <c r="H12" s="13"/>
    </row>
    <row r="13" spans="2:8" x14ac:dyDescent="0.2">
      <c r="B13" s="14"/>
      <c r="C13" s="15">
        <v>40</v>
      </c>
      <c r="D13" s="11">
        <f t="shared" si="0"/>
        <v>8.7222222222222232</v>
      </c>
      <c r="E13" s="11">
        <f t="shared" si="1"/>
        <v>0.83333333333333337</v>
      </c>
      <c r="F13" s="11">
        <f t="shared" si="2"/>
        <v>956.42477966575836</v>
      </c>
      <c r="G13" s="11">
        <f t="shared" si="3"/>
        <v>478.21238983287918</v>
      </c>
      <c r="H13" s="13"/>
    </row>
    <row r="14" spans="2:8" x14ac:dyDescent="0.2">
      <c r="B14" s="13"/>
      <c r="C14" s="15">
        <v>42</v>
      </c>
      <c r="D14" s="11">
        <f t="shared" si="0"/>
        <v>9.6162500000000009</v>
      </c>
      <c r="E14" s="11">
        <f t="shared" si="1"/>
        <v>0.87500000000000011</v>
      </c>
      <c r="F14" s="16">
        <f t="shared" si="2"/>
        <v>1089.3380665932154</v>
      </c>
      <c r="G14" s="12"/>
      <c r="H14" s="13"/>
    </row>
    <row r="15" spans="2:8" x14ac:dyDescent="0.2">
      <c r="B15" s="13"/>
      <c r="C15" s="15">
        <v>48</v>
      </c>
      <c r="D15" s="11">
        <f t="shared" si="0"/>
        <v>12.56</v>
      </c>
      <c r="E15" s="11">
        <f t="shared" si="1"/>
        <v>1</v>
      </c>
      <c r="F15" s="16">
        <f t="shared" si="2"/>
        <v>1555.3466666666666</v>
      </c>
      <c r="G15" s="11">
        <f t="shared" si="3"/>
        <v>777.67333333333329</v>
      </c>
      <c r="H15" s="13"/>
    </row>
    <row r="16" spans="2:8" x14ac:dyDescent="0.2">
      <c r="B16" s="13"/>
      <c r="C16" s="15">
        <v>50</v>
      </c>
      <c r="D16" s="11">
        <f t="shared" si="0"/>
        <v>13.628472222222225</v>
      </c>
      <c r="E16" s="11">
        <f t="shared" si="1"/>
        <v>1.0416666666666667</v>
      </c>
      <c r="F16" s="16">
        <f t="shared" si="2"/>
        <v>1734.2424970435115</v>
      </c>
      <c r="G16" s="12"/>
      <c r="H16" s="13"/>
    </row>
    <row r="17" spans="2:7" x14ac:dyDescent="0.2">
      <c r="B17" s="3" t="s">
        <v>69</v>
      </c>
      <c r="C17" s="5">
        <v>54</v>
      </c>
      <c r="D17" s="11">
        <f t="shared" si="0"/>
        <v>15.89625</v>
      </c>
      <c r="E17" s="11">
        <f t="shared" si="1"/>
        <v>1.125</v>
      </c>
      <c r="F17" s="16">
        <f t="shared" si="2"/>
        <v>2129.36925966012</v>
      </c>
      <c r="G17" s="16">
        <f>(1.486/0.024)*D17*E17^0.667</f>
        <v>1064.68462983006</v>
      </c>
    </row>
    <row r="18" spans="2:7" x14ac:dyDescent="0.2">
      <c r="C18" s="5">
        <v>60</v>
      </c>
      <c r="D18" s="11">
        <f t="shared" si="0"/>
        <v>19.625</v>
      </c>
      <c r="E18" s="11">
        <f t="shared" si="1"/>
        <v>1.25</v>
      </c>
      <c r="F18" s="16">
        <f t="shared" si="2"/>
        <v>2820.2409058357352</v>
      </c>
      <c r="G18" s="16">
        <f>(1.486/0.024)*D18*E18^0.667</f>
        <v>1410.1204529178676</v>
      </c>
    </row>
    <row r="19" spans="2:7" x14ac:dyDescent="0.2">
      <c r="C19" s="5">
        <v>66</v>
      </c>
      <c r="D19" s="11">
        <f t="shared" si="0"/>
        <v>23.74625</v>
      </c>
      <c r="E19" s="11">
        <f t="shared" si="1"/>
        <v>1.375</v>
      </c>
      <c r="F19" s="16">
        <f t="shared" si="2"/>
        <v>3636.4741003148192</v>
      </c>
      <c r="G19" s="17"/>
    </row>
    <row r="20" spans="2:7" x14ac:dyDescent="0.2">
      <c r="B20" s="3" t="s">
        <v>69</v>
      </c>
      <c r="C20" s="5">
        <v>66</v>
      </c>
      <c r="D20" s="11">
        <f t="shared" si="0"/>
        <v>23.74625</v>
      </c>
      <c r="E20" s="11">
        <f t="shared" si="1"/>
        <v>1.375</v>
      </c>
      <c r="F20" s="16">
        <f t="shared" si="2"/>
        <v>3636.4741003148192</v>
      </c>
      <c r="G20" s="16">
        <f>(1.486/0.024)*D20*E20^0.667</f>
        <v>1818.2370501574096</v>
      </c>
    </row>
    <row r="21" spans="2:7" x14ac:dyDescent="0.2">
      <c r="C21" s="5">
        <v>72</v>
      </c>
      <c r="D21" s="11">
        <f t="shared" si="0"/>
        <v>28.26</v>
      </c>
      <c r="E21" s="11">
        <f t="shared" si="1"/>
        <v>1.5</v>
      </c>
      <c r="F21" s="16">
        <f t="shared" si="2"/>
        <v>4586.3013854801266</v>
      </c>
      <c r="G21" s="16">
        <f>(1.486/0.024)*D21*E21^0.667</f>
        <v>2293.1506927400633</v>
      </c>
    </row>
    <row r="22" spans="2:7" x14ac:dyDescent="0.2">
      <c r="C22" s="5">
        <v>78</v>
      </c>
      <c r="D22" s="11">
        <f t="shared" si="0"/>
        <v>33.166249999999998</v>
      </c>
      <c r="E22" s="11">
        <f t="shared" si="1"/>
        <v>1.625</v>
      </c>
      <c r="F22" s="16">
        <f t="shared" si="2"/>
        <v>5677.7089769500972</v>
      </c>
      <c r="G22" s="17"/>
    </row>
    <row r="23" spans="2:7" x14ac:dyDescent="0.2">
      <c r="B23" s="3" t="s">
        <v>69</v>
      </c>
      <c r="C23" s="5">
        <v>78</v>
      </c>
      <c r="D23" s="11">
        <f t="shared" si="0"/>
        <v>33.166249999999998</v>
      </c>
      <c r="E23" s="11">
        <f t="shared" si="1"/>
        <v>1.625</v>
      </c>
      <c r="F23" s="16">
        <f t="shared" si="2"/>
        <v>5677.7089769500972</v>
      </c>
      <c r="G23" s="16">
        <f>(1.486/0.024)*D23*E23^0.667</f>
        <v>2838.8544884750486</v>
      </c>
    </row>
    <row r="24" spans="2:7" x14ac:dyDescent="0.2">
      <c r="C24" s="5">
        <v>84</v>
      </c>
      <c r="D24" s="11">
        <f t="shared" si="0"/>
        <v>38.465000000000003</v>
      </c>
      <c r="E24" s="11">
        <f t="shared" si="1"/>
        <v>1.7500000000000002</v>
      </c>
      <c r="F24" s="16">
        <f t="shared" si="2"/>
        <v>6918.4638913640656</v>
      </c>
      <c r="G24" s="17"/>
    </row>
    <row r="25" spans="2:7" x14ac:dyDescent="0.2">
      <c r="B25" s="3" t="s">
        <v>69</v>
      </c>
      <c r="C25" s="5">
        <v>84</v>
      </c>
      <c r="D25" s="11">
        <f t="shared" si="0"/>
        <v>38.465000000000003</v>
      </c>
      <c r="E25" s="11">
        <f t="shared" si="1"/>
        <v>1.7500000000000002</v>
      </c>
      <c r="F25" s="16">
        <f t="shared" si="2"/>
        <v>6918.4638913640656</v>
      </c>
      <c r="G25" s="16">
        <f>(1.486/0.024)*D25*E25^0.667</f>
        <v>3459.2319456820328</v>
      </c>
    </row>
    <row r="26" spans="2:7" x14ac:dyDescent="0.2">
      <c r="C26" s="5">
        <v>90</v>
      </c>
      <c r="D26" s="11">
        <f t="shared" si="0"/>
        <v>44.15625</v>
      </c>
      <c r="E26" s="11">
        <f t="shared" si="1"/>
        <v>1.875</v>
      </c>
      <c r="F26" s="16">
        <f t="shared" si="2"/>
        <v>8316.1362357516191</v>
      </c>
      <c r="G26" s="17"/>
    </row>
    <row r="27" spans="2:7" x14ac:dyDescent="0.2">
      <c r="B27" s="3" t="s">
        <v>69</v>
      </c>
      <c r="C27" s="5">
        <v>90</v>
      </c>
      <c r="D27" s="11">
        <f t="shared" si="0"/>
        <v>44.15625</v>
      </c>
      <c r="E27" s="11">
        <f t="shared" si="1"/>
        <v>1.875</v>
      </c>
      <c r="F27" s="16">
        <f t="shared" si="2"/>
        <v>8316.1362357516191</v>
      </c>
      <c r="G27" s="16">
        <f>(1.486/0.024)*D27*E27^0.667</f>
        <v>4158.0681178758095</v>
      </c>
    </row>
    <row r="28" spans="2:7" x14ac:dyDescent="0.2">
      <c r="C28" s="5">
        <v>96</v>
      </c>
      <c r="D28" s="11">
        <f t="shared" si="0"/>
        <v>50.24</v>
      </c>
      <c r="E28" s="11">
        <f t="shared" si="1"/>
        <v>2</v>
      </c>
      <c r="F28" s="16">
        <f t="shared" si="2"/>
        <v>9878.1178055582059</v>
      </c>
      <c r="G28" s="16">
        <f>(1.486/0.024)*D28*E28^0.667</f>
        <v>4939.0589027791029</v>
      </c>
    </row>
    <row r="30" spans="2:7" x14ac:dyDescent="0.2">
      <c r="D30" t="s">
        <v>70</v>
      </c>
    </row>
    <row r="32" spans="2:7" x14ac:dyDescent="0.2">
      <c r="C32" s="8"/>
    </row>
    <row r="33" spans="2:2" x14ac:dyDescent="0.2">
      <c r="B33" s="2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topLeftCell="A5" workbookViewId="0">
      <selection activeCell="I22" sqref="I22"/>
    </sheetView>
  </sheetViews>
  <sheetFormatPr defaultRowHeight="12.75" x14ac:dyDescent="0.2"/>
  <cols>
    <col min="8" max="8" width="15" bestFit="1" customWidth="1"/>
    <col min="9" max="9" width="9.85546875" bestFit="1" customWidth="1"/>
  </cols>
  <sheetData>
    <row r="3" spans="2:7" x14ac:dyDescent="0.2">
      <c r="B3" s="61" t="s">
        <v>104</v>
      </c>
    </row>
    <row r="4" spans="2:7" x14ac:dyDescent="0.2">
      <c r="B4" s="63" t="s">
        <v>118</v>
      </c>
    </row>
    <row r="5" spans="2:7" x14ac:dyDescent="0.2">
      <c r="B5" s="8"/>
    </row>
    <row r="6" spans="2:7" x14ac:dyDescent="0.2">
      <c r="B6" t="s">
        <v>115</v>
      </c>
    </row>
    <row r="8" spans="2:7" x14ac:dyDescent="0.2">
      <c r="B8" s="58" t="s">
        <v>105</v>
      </c>
      <c r="C8" s="10" t="s">
        <v>110</v>
      </c>
      <c r="D8" s="10"/>
      <c r="E8" s="59"/>
    </row>
    <row r="9" spans="2:7" x14ac:dyDescent="0.2">
      <c r="B9" s="58" t="s">
        <v>106</v>
      </c>
      <c r="C9" s="10" t="s">
        <v>107</v>
      </c>
      <c r="D9" s="10"/>
      <c r="E9" s="57"/>
    </row>
    <row r="10" spans="2:7" x14ac:dyDescent="0.2">
      <c r="B10" s="58" t="s">
        <v>108</v>
      </c>
      <c r="C10" s="10" t="s">
        <v>109</v>
      </c>
      <c r="D10" s="10"/>
      <c r="E10" s="57"/>
    </row>
    <row r="11" spans="2:7" x14ac:dyDescent="0.2">
      <c r="B11" s="58" t="s">
        <v>114</v>
      </c>
      <c r="C11" s="10" t="s">
        <v>111</v>
      </c>
      <c r="D11" s="10"/>
      <c r="E11" s="57"/>
      <c r="F11" s="4" t="s">
        <v>120</v>
      </c>
      <c r="G11" s="62" t="s">
        <v>119</v>
      </c>
    </row>
    <row r="12" spans="2:7" x14ac:dyDescent="0.2">
      <c r="B12" s="58" t="s">
        <v>112</v>
      </c>
      <c r="C12" s="10" t="s">
        <v>113</v>
      </c>
      <c r="D12" s="10"/>
      <c r="E12" s="57"/>
    </row>
    <row r="15" spans="2:7" x14ac:dyDescent="0.2">
      <c r="B15" t="s">
        <v>121</v>
      </c>
      <c r="C15" s="16" t="e">
        <f>(0.007*(n*L)^0.8)/(p^0.5*s^0.4)</f>
        <v>#DIV/0!</v>
      </c>
      <c r="D15" t="s">
        <v>117</v>
      </c>
    </row>
    <row r="16" spans="2:7" x14ac:dyDescent="0.2">
      <c r="B16" t="s">
        <v>121</v>
      </c>
      <c r="C16" s="60" t="e">
        <f>C15*60</f>
        <v>#DIV/0!</v>
      </c>
      <c r="D16" t="s">
        <v>116</v>
      </c>
    </row>
    <row r="18" spans="2:13" x14ac:dyDescent="0.2">
      <c r="B18" s="63" t="s">
        <v>122</v>
      </c>
    </row>
    <row r="19" spans="2:13" x14ac:dyDescent="0.2">
      <c r="B19" t="s">
        <v>128</v>
      </c>
      <c r="D19">
        <v>1400</v>
      </c>
    </row>
    <row r="20" spans="2:13" x14ac:dyDescent="0.2">
      <c r="B20" t="s">
        <v>127</v>
      </c>
      <c r="D20">
        <v>0.01</v>
      </c>
    </row>
    <row r="22" spans="2:13" x14ac:dyDescent="0.2">
      <c r="B22" s="4" t="s">
        <v>123</v>
      </c>
      <c r="H22" t="s">
        <v>125</v>
      </c>
      <c r="I22" s="56"/>
      <c r="J22" t="s">
        <v>126</v>
      </c>
      <c r="K22" s="64" t="e">
        <f>(D19/I22)/60</f>
        <v>#DIV/0!</v>
      </c>
      <c r="L22" t="s">
        <v>116</v>
      </c>
    </row>
    <row r="23" spans="2:13" x14ac:dyDescent="0.2">
      <c r="B23" s="4" t="s">
        <v>124</v>
      </c>
    </row>
    <row r="24" spans="2:13" x14ac:dyDescent="0.2">
      <c r="H24" t="s">
        <v>129</v>
      </c>
      <c r="I24" s="60">
        <f>20.3282*D20^0.5</f>
        <v>2.0328200000000001</v>
      </c>
      <c r="J24" t="s">
        <v>126</v>
      </c>
      <c r="K24" s="64">
        <f>(D19/I24)/60</f>
        <v>11.478307638321805</v>
      </c>
      <c r="L24" t="s">
        <v>116</v>
      </c>
    </row>
    <row r="25" spans="2:13" x14ac:dyDescent="0.2">
      <c r="H25" t="s">
        <v>130</v>
      </c>
      <c r="I25" s="60">
        <f>16.1345*D20^0.5</f>
        <v>1.6134500000000001</v>
      </c>
      <c r="J25" t="s">
        <v>126</v>
      </c>
      <c r="K25" s="64">
        <f>(D19/I25)/60</f>
        <v>14.461764128627062</v>
      </c>
      <c r="L25" t="s">
        <v>116</v>
      </c>
    </row>
    <row r="27" spans="2:13" x14ac:dyDescent="0.2">
      <c r="B27" s="63" t="s">
        <v>131</v>
      </c>
      <c r="H27" t="s">
        <v>133</v>
      </c>
      <c r="I27" s="56"/>
      <c r="J27" t="s">
        <v>7</v>
      </c>
    </row>
    <row r="28" spans="2:13" x14ac:dyDescent="0.2">
      <c r="H28" t="s">
        <v>132</v>
      </c>
      <c r="I28" s="56"/>
      <c r="J28" t="s">
        <v>134</v>
      </c>
      <c r="K28" t="s">
        <v>126</v>
      </c>
      <c r="L28" t="e">
        <f>(I27/I28)*60</f>
        <v>#DIV/0!</v>
      </c>
      <c r="M28" t="s">
        <v>116</v>
      </c>
    </row>
  </sheetData>
  <hyperlinks>
    <hyperlink ref="G11" r:id="rId1" location="NOAA ATLAS 14" display="NOAA ATLAS 14"/>
  </hyperlinks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9"/>
  <sheetViews>
    <sheetView showGridLines="0" workbookViewId="0">
      <selection activeCell="O21" sqref="O21"/>
    </sheetView>
  </sheetViews>
  <sheetFormatPr defaultRowHeight="12.75" x14ac:dyDescent="0.2"/>
  <cols>
    <col min="1" max="1" width="2.85546875" customWidth="1"/>
    <col min="2" max="2" width="14" customWidth="1"/>
    <col min="4" max="4" width="3.28515625" customWidth="1"/>
    <col min="6" max="6" width="7.5703125" customWidth="1"/>
    <col min="8" max="8" width="13.42578125" customWidth="1"/>
    <col min="9" max="9" width="12.7109375" customWidth="1"/>
    <col min="10" max="10" width="6.140625" hidden="1" customWidth="1"/>
    <col min="12" max="12" width="7.5703125" customWidth="1"/>
  </cols>
  <sheetData>
    <row r="3" spans="2:12" x14ac:dyDescent="0.2">
      <c r="B3" t="s">
        <v>95</v>
      </c>
    </row>
    <row r="4" spans="2:12" x14ac:dyDescent="0.2">
      <c r="B4" t="s">
        <v>96</v>
      </c>
    </row>
    <row r="5" spans="2:12" x14ac:dyDescent="0.2">
      <c r="B5" t="s">
        <v>97</v>
      </c>
    </row>
    <row r="6" spans="2:12" x14ac:dyDescent="0.2">
      <c r="B6" t="s">
        <v>98</v>
      </c>
    </row>
    <row r="8" spans="2:12" ht="15.75" x14ac:dyDescent="0.25">
      <c r="B8" s="44" t="s">
        <v>83</v>
      </c>
      <c r="C8" s="40"/>
      <c r="D8" s="40"/>
      <c r="E8" s="40"/>
      <c r="F8" s="40"/>
      <c r="H8" s="44" t="s">
        <v>83</v>
      </c>
      <c r="I8" s="40"/>
      <c r="J8" s="40"/>
      <c r="K8" s="40"/>
      <c r="L8" s="40"/>
    </row>
    <row r="9" spans="2:12" ht="15" x14ac:dyDescent="0.2">
      <c r="B9" s="40" t="s">
        <v>84</v>
      </c>
      <c r="C9" s="40"/>
      <c r="D9" s="40"/>
      <c r="E9" s="224"/>
      <c r="F9" s="224"/>
      <c r="H9" s="40" t="s">
        <v>84</v>
      </c>
      <c r="I9" s="40"/>
      <c r="J9" s="40"/>
      <c r="K9" s="224"/>
      <c r="L9" s="224"/>
    </row>
    <row r="10" spans="2:12" ht="15" x14ac:dyDescent="0.2">
      <c r="B10" s="40" t="s">
        <v>16</v>
      </c>
      <c r="C10" s="40"/>
      <c r="D10" s="40"/>
      <c r="E10" s="224"/>
      <c r="F10" s="224"/>
      <c r="H10" s="40" t="s">
        <v>16</v>
      </c>
      <c r="I10" s="40"/>
      <c r="J10" s="40"/>
      <c r="K10" s="224"/>
      <c r="L10" s="224"/>
    </row>
    <row r="11" spans="2:12" ht="15" x14ac:dyDescent="0.2">
      <c r="B11" s="40" t="s">
        <v>18</v>
      </c>
      <c r="C11" s="40"/>
      <c r="D11" s="40"/>
      <c r="E11" s="224"/>
      <c r="F11" s="224"/>
      <c r="H11" s="40" t="s">
        <v>18</v>
      </c>
      <c r="I11" s="40"/>
      <c r="J11" s="40"/>
      <c r="K11" s="224"/>
      <c r="L11" s="224"/>
    </row>
    <row r="12" spans="2:12" ht="15" x14ac:dyDescent="0.2">
      <c r="B12" s="40" t="s">
        <v>20</v>
      </c>
      <c r="C12" s="40"/>
      <c r="D12" s="40"/>
      <c r="E12" s="224"/>
      <c r="F12" s="224"/>
      <c r="H12" s="40" t="s">
        <v>20</v>
      </c>
      <c r="I12" s="40"/>
      <c r="J12" s="40"/>
      <c r="K12" s="224"/>
      <c r="L12" s="224"/>
    </row>
    <row r="13" spans="2:12" ht="15" x14ac:dyDescent="0.2">
      <c r="B13" s="40" t="s">
        <v>23</v>
      </c>
      <c r="C13" s="40"/>
      <c r="D13" s="40"/>
      <c r="E13" s="224"/>
      <c r="F13" s="224"/>
      <c r="H13" s="40" t="s">
        <v>23</v>
      </c>
      <c r="I13" s="40"/>
      <c r="J13" s="40"/>
      <c r="K13" s="224"/>
      <c r="L13" s="224"/>
    </row>
    <row r="14" spans="2:12" ht="15" x14ac:dyDescent="0.2">
      <c r="B14" s="40" t="s">
        <v>26</v>
      </c>
      <c r="C14" s="40"/>
      <c r="D14" s="40"/>
      <c r="E14" s="224" t="s">
        <v>87</v>
      </c>
      <c r="F14" s="224"/>
      <c r="H14" s="40" t="s">
        <v>26</v>
      </c>
      <c r="I14" s="40"/>
      <c r="J14" s="40"/>
      <c r="K14" s="224" t="s">
        <v>87</v>
      </c>
      <c r="L14" s="224"/>
    </row>
    <row r="15" spans="2:12" ht="9.75" customHeight="1" x14ac:dyDescent="0.2">
      <c r="B15" s="40"/>
      <c r="C15" s="40"/>
      <c r="D15" s="40"/>
      <c r="E15" s="45"/>
      <c r="F15" s="45"/>
      <c r="H15" s="40"/>
      <c r="I15" s="40"/>
      <c r="J15" s="40"/>
      <c r="K15" s="45"/>
      <c r="L15" s="45"/>
    </row>
    <row r="16" spans="2:12" ht="30" customHeight="1" x14ac:dyDescent="0.2">
      <c r="B16" s="46"/>
      <c r="C16" s="230" t="s">
        <v>85</v>
      </c>
      <c r="D16" s="231"/>
      <c r="E16" s="230" t="s">
        <v>86</v>
      </c>
      <c r="F16" s="231"/>
      <c r="H16" s="46"/>
      <c r="I16" s="230" t="s">
        <v>85</v>
      </c>
      <c r="J16" s="231"/>
      <c r="K16" s="230" t="s">
        <v>86</v>
      </c>
      <c r="L16" s="231"/>
    </row>
    <row r="17" spans="2:12" ht="15" x14ac:dyDescent="0.2">
      <c r="B17" s="46" t="s">
        <v>88</v>
      </c>
      <c r="C17" s="228"/>
      <c r="D17" s="228"/>
      <c r="E17" s="228"/>
      <c r="F17" s="228"/>
      <c r="H17" s="46" t="s">
        <v>88</v>
      </c>
      <c r="I17" s="228"/>
      <c r="J17" s="228"/>
      <c r="K17" s="228"/>
      <c r="L17" s="228"/>
    </row>
    <row r="18" spans="2:12" ht="15" x14ac:dyDescent="0.2">
      <c r="B18" s="46" t="s">
        <v>89</v>
      </c>
      <c r="C18" s="228"/>
      <c r="D18" s="228"/>
      <c r="E18" s="228"/>
      <c r="F18" s="228"/>
      <c r="H18" s="46" t="s">
        <v>89</v>
      </c>
      <c r="I18" s="228"/>
      <c r="J18" s="228"/>
      <c r="K18" s="228"/>
      <c r="L18" s="228"/>
    </row>
    <row r="19" spans="2:12" ht="5.25" customHeight="1" x14ac:dyDescent="0.2">
      <c r="B19" s="47"/>
      <c r="C19" s="229"/>
      <c r="D19" s="229"/>
      <c r="E19" s="229"/>
      <c r="F19" s="229"/>
      <c r="H19" s="47"/>
      <c r="I19" s="229"/>
      <c r="J19" s="229"/>
      <c r="K19" s="229"/>
      <c r="L19" s="229"/>
    </row>
    <row r="20" spans="2:12" ht="15" x14ac:dyDescent="0.2">
      <c r="B20" s="46" t="s">
        <v>90</v>
      </c>
      <c r="C20" s="228"/>
      <c r="D20" s="228"/>
      <c r="E20" s="228"/>
      <c r="F20" s="228"/>
      <c r="H20" s="46" t="s">
        <v>90</v>
      </c>
      <c r="I20" s="228"/>
      <c r="J20" s="228"/>
      <c r="K20" s="228"/>
      <c r="L20" s="228"/>
    </row>
    <row r="21" spans="2:12" ht="15" x14ac:dyDescent="0.2">
      <c r="B21" s="46" t="s">
        <v>92</v>
      </c>
      <c r="C21" s="228"/>
      <c r="D21" s="228"/>
      <c r="E21" s="228"/>
      <c r="F21" s="228"/>
      <c r="H21" s="46" t="s">
        <v>92</v>
      </c>
      <c r="I21" s="228"/>
      <c r="J21" s="228"/>
      <c r="K21" s="228"/>
      <c r="L21" s="228"/>
    </row>
    <row r="22" spans="2:12" ht="15" x14ac:dyDescent="0.2">
      <c r="B22" s="46" t="s">
        <v>93</v>
      </c>
      <c r="C22" s="228"/>
      <c r="D22" s="228"/>
      <c r="E22" s="228"/>
      <c r="F22" s="228"/>
      <c r="H22" s="46" t="s">
        <v>93</v>
      </c>
      <c r="I22" s="228"/>
      <c r="J22" s="228"/>
      <c r="K22" s="228"/>
      <c r="L22" s="228"/>
    </row>
    <row r="23" spans="2:12" ht="5.25" customHeight="1" x14ac:dyDescent="0.2">
      <c r="B23" s="47"/>
      <c r="C23" s="229"/>
      <c r="D23" s="229"/>
      <c r="E23" s="229"/>
      <c r="F23" s="229"/>
      <c r="H23" s="47"/>
      <c r="I23" s="229"/>
      <c r="J23" s="229"/>
      <c r="K23" s="229"/>
      <c r="L23" s="229"/>
    </row>
    <row r="24" spans="2:12" ht="15" x14ac:dyDescent="0.2">
      <c r="B24" s="46" t="s">
        <v>91</v>
      </c>
      <c r="C24" s="228"/>
      <c r="D24" s="228"/>
      <c r="E24" s="228"/>
      <c r="F24" s="228"/>
      <c r="H24" s="46" t="s">
        <v>91</v>
      </c>
      <c r="I24" s="228"/>
      <c r="J24" s="228"/>
      <c r="K24" s="228"/>
      <c r="L24" s="228"/>
    </row>
    <row r="25" spans="2:12" ht="15" x14ac:dyDescent="0.2">
      <c r="B25" s="46" t="s">
        <v>94</v>
      </c>
      <c r="C25" s="228"/>
      <c r="D25" s="228"/>
      <c r="E25" s="228"/>
      <c r="F25" s="228"/>
      <c r="H25" s="46" t="s">
        <v>94</v>
      </c>
      <c r="I25" s="228"/>
      <c r="J25" s="228"/>
      <c r="K25" s="228"/>
      <c r="L25" s="228"/>
    </row>
    <row r="26" spans="2:12" ht="15" x14ac:dyDescent="0.2">
      <c r="B26" s="43"/>
      <c r="C26" s="45"/>
      <c r="D26" s="45"/>
      <c r="E26" s="45"/>
      <c r="F26" s="45"/>
      <c r="H26" s="43"/>
      <c r="I26" s="45"/>
      <c r="J26" s="45"/>
      <c r="K26" s="45"/>
      <c r="L26" s="45"/>
    </row>
    <row r="27" spans="2:12" ht="15" x14ac:dyDescent="0.2">
      <c r="B27" s="40"/>
      <c r="C27" s="40"/>
      <c r="D27" s="40"/>
      <c r="E27" s="45"/>
      <c r="F27" s="45"/>
      <c r="H27" s="40"/>
      <c r="I27" s="40"/>
      <c r="J27" s="40"/>
      <c r="K27" s="45"/>
      <c r="L27" s="45"/>
    </row>
    <row r="28" spans="2:12" ht="15.75" x14ac:dyDescent="0.25">
      <c r="B28" s="44" t="s">
        <v>83</v>
      </c>
      <c r="C28" s="40"/>
      <c r="D28" s="40"/>
      <c r="E28" s="40"/>
      <c r="F28" s="40"/>
      <c r="H28" s="44" t="s">
        <v>83</v>
      </c>
      <c r="I28" s="40"/>
      <c r="J28" s="40"/>
      <c r="K28" s="40"/>
      <c r="L28" s="40"/>
    </row>
    <row r="29" spans="2:12" ht="15" x14ac:dyDescent="0.2">
      <c r="B29" s="40" t="s">
        <v>84</v>
      </c>
      <c r="C29" s="40"/>
      <c r="D29" s="40"/>
      <c r="E29" s="224"/>
      <c r="F29" s="224"/>
      <c r="H29" s="40" t="s">
        <v>84</v>
      </c>
      <c r="I29" s="40"/>
      <c r="J29" s="40"/>
      <c r="K29" s="224"/>
      <c r="L29" s="224"/>
    </row>
    <row r="30" spans="2:12" ht="15" x14ac:dyDescent="0.2">
      <c r="B30" s="40" t="s">
        <v>16</v>
      </c>
      <c r="C30" s="40"/>
      <c r="D30" s="40"/>
      <c r="E30" s="224"/>
      <c r="F30" s="224"/>
      <c r="H30" s="40" t="s">
        <v>16</v>
      </c>
      <c r="I30" s="40"/>
      <c r="J30" s="40"/>
      <c r="K30" s="224"/>
      <c r="L30" s="224"/>
    </row>
    <row r="31" spans="2:12" ht="15" x14ac:dyDescent="0.2">
      <c r="B31" s="40" t="s">
        <v>18</v>
      </c>
      <c r="C31" s="40"/>
      <c r="D31" s="40"/>
      <c r="E31" s="224"/>
      <c r="F31" s="224"/>
      <c r="H31" s="40" t="s">
        <v>18</v>
      </c>
      <c r="I31" s="40"/>
      <c r="J31" s="40"/>
      <c r="K31" s="224"/>
      <c r="L31" s="224"/>
    </row>
    <row r="32" spans="2:12" ht="15" x14ac:dyDescent="0.2">
      <c r="B32" s="40" t="s">
        <v>20</v>
      </c>
      <c r="C32" s="40"/>
      <c r="D32" s="40"/>
      <c r="E32" s="224"/>
      <c r="F32" s="224"/>
      <c r="H32" s="40" t="s">
        <v>20</v>
      </c>
      <c r="I32" s="40"/>
      <c r="J32" s="40"/>
      <c r="K32" s="224"/>
      <c r="L32" s="224"/>
    </row>
    <row r="33" spans="2:19" ht="15" x14ac:dyDescent="0.2">
      <c r="B33" s="40" t="s">
        <v>23</v>
      </c>
      <c r="C33" s="40"/>
      <c r="D33" s="40"/>
      <c r="E33" s="224"/>
      <c r="F33" s="224"/>
      <c r="H33" s="40" t="s">
        <v>23</v>
      </c>
      <c r="I33" s="40"/>
      <c r="J33" s="40"/>
      <c r="K33" s="224"/>
      <c r="L33" s="224"/>
    </row>
    <row r="34" spans="2:19" ht="15" x14ac:dyDescent="0.2">
      <c r="B34" s="40" t="s">
        <v>26</v>
      </c>
      <c r="C34" s="40"/>
      <c r="D34" s="40"/>
      <c r="E34" s="224" t="s">
        <v>87</v>
      </c>
      <c r="F34" s="224"/>
      <c r="H34" s="40" t="s">
        <v>26</v>
      </c>
      <c r="I34" s="40"/>
      <c r="J34" s="40"/>
      <c r="K34" s="224" t="s">
        <v>87</v>
      </c>
      <c r="L34" s="224"/>
    </row>
    <row r="35" spans="2:19" ht="15" x14ac:dyDescent="0.2">
      <c r="B35" s="40"/>
      <c r="C35" s="40"/>
      <c r="D35" s="40"/>
      <c r="E35" s="45"/>
      <c r="F35" s="45"/>
      <c r="H35" s="40"/>
      <c r="I35" s="40"/>
      <c r="J35" s="40"/>
      <c r="K35" s="45"/>
      <c r="L35" s="45"/>
    </row>
    <row r="36" spans="2:19" ht="15" x14ac:dyDescent="0.2">
      <c r="B36" s="46"/>
      <c r="C36" s="230" t="s">
        <v>85</v>
      </c>
      <c r="D36" s="231"/>
      <c r="E36" s="230" t="s">
        <v>86</v>
      </c>
      <c r="F36" s="231"/>
      <c r="H36" s="46"/>
      <c r="I36" s="230" t="s">
        <v>85</v>
      </c>
      <c r="J36" s="231"/>
      <c r="K36" s="230" t="s">
        <v>86</v>
      </c>
      <c r="L36" s="231"/>
    </row>
    <row r="37" spans="2:19" ht="15" x14ac:dyDescent="0.2">
      <c r="B37" s="46" t="s">
        <v>88</v>
      </c>
      <c r="C37" s="228"/>
      <c r="D37" s="228"/>
      <c r="E37" s="228"/>
      <c r="F37" s="228"/>
      <c r="H37" s="46" t="s">
        <v>88</v>
      </c>
      <c r="I37" s="228"/>
      <c r="J37" s="228"/>
      <c r="K37" s="228"/>
      <c r="L37" s="228"/>
    </row>
    <row r="38" spans="2:19" ht="15" x14ac:dyDescent="0.2">
      <c r="B38" s="46" t="s">
        <v>89</v>
      </c>
      <c r="C38" s="228"/>
      <c r="D38" s="228"/>
      <c r="E38" s="228"/>
      <c r="F38" s="228"/>
      <c r="H38" s="46" t="s">
        <v>89</v>
      </c>
      <c r="I38" s="228"/>
      <c r="J38" s="228"/>
      <c r="K38" s="228"/>
      <c r="L38" s="228"/>
    </row>
    <row r="39" spans="2:19" ht="15" x14ac:dyDescent="0.2">
      <c r="B39" s="47"/>
      <c r="C39" s="229"/>
      <c r="D39" s="229"/>
      <c r="E39" s="229"/>
      <c r="F39" s="229"/>
      <c r="H39" s="47"/>
      <c r="I39" s="229"/>
      <c r="J39" s="229"/>
      <c r="K39" s="229"/>
      <c r="L39" s="229"/>
    </row>
    <row r="40" spans="2:19" ht="15" x14ac:dyDescent="0.2">
      <c r="B40" s="46" t="s">
        <v>90</v>
      </c>
      <c r="C40" s="228"/>
      <c r="D40" s="228"/>
      <c r="E40" s="228"/>
      <c r="F40" s="228"/>
      <c r="H40" s="46" t="s">
        <v>90</v>
      </c>
      <c r="I40" s="228"/>
      <c r="J40" s="228"/>
      <c r="K40" s="228"/>
      <c r="L40" s="228"/>
    </row>
    <row r="41" spans="2:19" ht="15" x14ac:dyDescent="0.2">
      <c r="B41" s="46" t="s">
        <v>92</v>
      </c>
      <c r="C41" s="228"/>
      <c r="D41" s="228"/>
      <c r="E41" s="228"/>
      <c r="F41" s="228"/>
      <c r="H41" s="46" t="s">
        <v>92</v>
      </c>
      <c r="I41" s="228"/>
      <c r="J41" s="228"/>
      <c r="K41" s="228"/>
      <c r="L41" s="228"/>
    </row>
    <row r="42" spans="2:19" ht="15" x14ac:dyDescent="0.2">
      <c r="B42" s="46" t="s">
        <v>93</v>
      </c>
      <c r="C42" s="228"/>
      <c r="D42" s="228"/>
      <c r="E42" s="228"/>
      <c r="F42" s="228"/>
      <c r="H42" s="46" t="s">
        <v>93</v>
      </c>
      <c r="I42" s="228"/>
      <c r="J42" s="228"/>
      <c r="K42" s="228"/>
      <c r="L42" s="228"/>
    </row>
    <row r="43" spans="2:19" ht="15" x14ac:dyDescent="0.2">
      <c r="B43" s="47"/>
      <c r="C43" s="229"/>
      <c r="D43" s="229"/>
      <c r="E43" s="229"/>
      <c r="F43" s="229"/>
      <c r="H43" s="47"/>
      <c r="I43" s="229"/>
      <c r="J43" s="229"/>
      <c r="K43" s="229"/>
      <c r="L43" s="229"/>
    </row>
    <row r="44" spans="2:19" ht="15" x14ac:dyDescent="0.2">
      <c r="B44" s="46" t="s">
        <v>91</v>
      </c>
      <c r="C44" s="228"/>
      <c r="D44" s="228"/>
      <c r="E44" s="228"/>
      <c r="F44" s="228"/>
      <c r="H44" s="46" t="s">
        <v>91</v>
      </c>
      <c r="I44" s="228"/>
      <c r="J44" s="228"/>
      <c r="K44" s="228"/>
      <c r="L44" s="228"/>
    </row>
    <row r="45" spans="2:19" ht="15" x14ac:dyDescent="0.2">
      <c r="B45" s="46" t="s">
        <v>94</v>
      </c>
      <c r="C45" s="228"/>
      <c r="D45" s="228"/>
      <c r="E45" s="228"/>
      <c r="F45" s="228"/>
      <c r="H45" s="46" t="s">
        <v>94</v>
      </c>
      <c r="I45" s="228"/>
      <c r="J45" s="228"/>
      <c r="K45" s="228"/>
      <c r="L45" s="228"/>
    </row>
    <row r="46" spans="2:19" x14ac:dyDescent="0.2">
      <c r="B46" s="48"/>
      <c r="C46" s="48"/>
      <c r="D46" s="20"/>
      <c r="E46" s="49"/>
      <c r="F46" s="48"/>
      <c r="G46" s="227"/>
      <c r="H46" s="227"/>
      <c r="I46" s="227"/>
      <c r="J46" s="227"/>
      <c r="K46" s="227"/>
      <c r="L46" s="227"/>
      <c r="M46" s="227"/>
      <c r="N46" s="227"/>
      <c r="O46" s="15"/>
      <c r="P46" s="48"/>
      <c r="Q46" s="20"/>
      <c r="R46" s="13"/>
      <c r="S46" s="13"/>
    </row>
    <row r="47" spans="2:19" x14ac:dyDescent="0.2">
      <c r="B47" s="20"/>
      <c r="C47" s="20"/>
      <c r="D47" s="20"/>
      <c r="E47" s="20"/>
      <c r="F47" s="20"/>
      <c r="G47" s="20"/>
      <c r="H47" s="20"/>
      <c r="I47" s="13"/>
      <c r="J47" s="20"/>
      <c r="K47" s="20"/>
      <c r="L47" s="20"/>
      <c r="M47" s="20"/>
      <c r="N47" s="20"/>
      <c r="O47" s="15"/>
      <c r="P47" s="48"/>
      <c r="Q47" s="20"/>
      <c r="R47" s="13"/>
      <c r="S47" s="13"/>
    </row>
    <row r="48" spans="2:19" x14ac:dyDescent="0.2">
      <c r="B48" s="50"/>
      <c r="C48" s="50"/>
      <c r="D48" s="50"/>
      <c r="E48" s="20"/>
      <c r="F48" s="50"/>
      <c r="G48" s="49"/>
      <c r="H48" s="50"/>
      <c r="I48" s="50"/>
      <c r="J48" s="50"/>
      <c r="K48" s="50"/>
      <c r="L48" s="50"/>
      <c r="M48" s="50"/>
      <c r="N48" s="50"/>
      <c r="O48" s="20"/>
      <c r="P48" s="50"/>
      <c r="Q48" s="50"/>
      <c r="R48" s="13"/>
      <c r="S48" s="13"/>
    </row>
    <row r="49" spans="2:19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</sheetData>
  <mergeCells count="105">
    <mergeCell ref="C44:D44"/>
    <mergeCell ref="E44:F44"/>
    <mergeCell ref="I44:J44"/>
    <mergeCell ref="K44:L44"/>
    <mergeCell ref="C45:D45"/>
    <mergeCell ref="E45:F45"/>
    <mergeCell ref="I45:J45"/>
    <mergeCell ref="K45:L45"/>
    <mergeCell ref="C42:D42"/>
    <mergeCell ref="E42:F42"/>
    <mergeCell ref="I42:J42"/>
    <mergeCell ref="K42:L42"/>
    <mergeCell ref="C43:D43"/>
    <mergeCell ref="E43:F43"/>
    <mergeCell ref="I43:J43"/>
    <mergeCell ref="K43:L43"/>
    <mergeCell ref="C40:D40"/>
    <mergeCell ref="E40:F40"/>
    <mergeCell ref="I40:J40"/>
    <mergeCell ref="K40:L40"/>
    <mergeCell ref="C41:D41"/>
    <mergeCell ref="E41:F41"/>
    <mergeCell ref="I41:J41"/>
    <mergeCell ref="K41:L41"/>
    <mergeCell ref="C38:D38"/>
    <mergeCell ref="E38:F38"/>
    <mergeCell ref="I38:J38"/>
    <mergeCell ref="K38:L38"/>
    <mergeCell ref="C39:D39"/>
    <mergeCell ref="E39:F39"/>
    <mergeCell ref="I39:J39"/>
    <mergeCell ref="K39:L39"/>
    <mergeCell ref="C36:D36"/>
    <mergeCell ref="E36:F36"/>
    <mergeCell ref="I36:J36"/>
    <mergeCell ref="K36:L36"/>
    <mergeCell ref="C37:D37"/>
    <mergeCell ref="E37:F37"/>
    <mergeCell ref="I37:J37"/>
    <mergeCell ref="K37:L37"/>
    <mergeCell ref="E32:F32"/>
    <mergeCell ref="K32:L32"/>
    <mergeCell ref="E33:F33"/>
    <mergeCell ref="K33:L33"/>
    <mergeCell ref="E34:F34"/>
    <mergeCell ref="K34:L34"/>
    <mergeCell ref="C16:D16"/>
    <mergeCell ref="E16:F16"/>
    <mergeCell ref="I16:J16"/>
    <mergeCell ref="K16:L16"/>
    <mergeCell ref="E31:F31"/>
    <mergeCell ref="K31:L31"/>
    <mergeCell ref="I24:J24"/>
    <mergeCell ref="K24:L24"/>
    <mergeCell ref="I17:J17"/>
    <mergeCell ref="K17:L17"/>
    <mergeCell ref="K9:L9"/>
    <mergeCell ref="K10:L10"/>
    <mergeCell ref="K11:L11"/>
    <mergeCell ref="K12:L12"/>
    <mergeCell ref="K13:L13"/>
    <mergeCell ref="K14:L14"/>
    <mergeCell ref="I18:J18"/>
    <mergeCell ref="I21:J21"/>
    <mergeCell ref="K21:L21"/>
    <mergeCell ref="I22:J22"/>
    <mergeCell ref="K22:L22"/>
    <mergeCell ref="I23:J23"/>
    <mergeCell ref="K23:L23"/>
    <mergeCell ref="K29:L29"/>
    <mergeCell ref="E30:F30"/>
    <mergeCell ref="K30:L30"/>
    <mergeCell ref="I25:J25"/>
    <mergeCell ref="K25:L25"/>
    <mergeCell ref="K18:L18"/>
    <mergeCell ref="I19:J19"/>
    <mergeCell ref="K19:L19"/>
    <mergeCell ref="I20:J20"/>
    <mergeCell ref="K20:L20"/>
    <mergeCell ref="C23:D23"/>
    <mergeCell ref="C24:D24"/>
    <mergeCell ref="C25:D25"/>
    <mergeCell ref="E17:F17"/>
    <mergeCell ref="E18:F18"/>
    <mergeCell ref="E19:F19"/>
    <mergeCell ref="E20:F20"/>
    <mergeCell ref="E21:F21"/>
    <mergeCell ref="E22:F22"/>
    <mergeCell ref="E23:F23"/>
    <mergeCell ref="C17:D17"/>
    <mergeCell ref="C18:D18"/>
    <mergeCell ref="C19:D19"/>
    <mergeCell ref="C20:D20"/>
    <mergeCell ref="C21:D21"/>
    <mergeCell ref="C22:D22"/>
    <mergeCell ref="E9:F9"/>
    <mergeCell ref="E10:F10"/>
    <mergeCell ref="E11:F11"/>
    <mergeCell ref="E12:F12"/>
    <mergeCell ref="E13:F13"/>
    <mergeCell ref="G46:N46"/>
    <mergeCell ref="E14:F14"/>
    <mergeCell ref="E24:F24"/>
    <mergeCell ref="E25:F25"/>
    <mergeCell ref="E29:F29"/>
  </mergeCells>
  <printOptions gridLinesSet="0"/>
  <pageMargins left="0.5" right="0.25" top="0.71" bottom="1" header="0.5" footer="0.5"/>
  <pageSetup orientation="portrait" verticalDpi="0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B2F5E96AE574AA9EBBFF85A791822" ma:contentTypeVersion="74" ma:contentTypeDescription="Create a new document." ma:contentTypeScope="" ma:versionID="6517d73297c12d4298d2348ad99a2f3d">
  <xsd:schema xmlns:xsd="http://www.w3.org/2001/XMLSchema" xmlns:xs="http://www.w3.org/2001/XMLSchema" xmlns:p="http://schemas.microsoft.com/office/2006/metadata/properties" xmlns:ns1="http://schemas.microsoft.com/sharepoint/v3" xmlns:ns2="089251ca-eae6-47d1-aa1a-9c52540a6454" xmlns:ns3="16f00c2e-ac5c-418b-9f13-a0771dbd417d" xmlns:ns4="http://schemas.microsoft.com/sharepoint/v4" targetNamespace="http://schemas.microsoft.com/office/2006/metadata/properties" ma:root="true" ma:fieldsID="a8c5044943992be0cac39b5e5092806c" ns1:_="" ns2:_="" ns3:_="" ns4:_="">
    <xsd:import namespace="http://schemas.microsoft.com/sharepoint/v3"/>
    <xsd:import namespace="089251ca-eae6-47d1-aa1a-9c52540a6454"/>
    <xsd:import namespace="16f00c2e-ac5c-418b-9f13-a0771dbd417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hapter" minOccurs="0"/>
                <xsd:element ref="ns2:DateUpdated" minOccurs="0"/>
                <xsd:element ref="ns1:URL" minOccurs="0"/>
                <xsd:element ref="ns3:_dlc_DocId" minOccurs="0"/>
                <xsd:element ref="ns3:_dlc_DocIdUrl" minOccurs="0"/>
                <xsd:element ref="ns3:_dlc_DocIdPersistId" minOccurs="0"/>
                <xsd:element ref="ns2:SortOrder" minOccurs="0"/>
                <xsd:element ref="ns2:PageTab" minOccurs="0"/>
                <xsd:element ref="ns4:IconOverlay" minOccurs="0"/>
                <xsd:element ref="ns2:ArchivedDate" minOccurs="0"/>
                <xsd:element ref="ns2:Sidebar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251ca-eae6-47d1-aa1a-9c52540a6454" elementFormDefault="qualified">
    <xsd:import namespace="http://schemas.microsoft.com/office/2006/documentManagement/types"/>
    <xsd:import namespace="http://schemas.microsoft.com/office/infopath/2007/PartnerControls"/>
    <xsd:element name="Chapter" ma:index="1" nillable="true" ma:displayName="Chapter" ma:format="Dropdown" ma:internalName="Chapter">
      <xsd:simpleType>
        <xsd:restriction base="dms:Choice">
          <xsd:enumeration value="Chapter 1:"/>
          <xsd:enumeration value="Chapter 2:"/>
          <xsd:enumeration value="Chapter 3:"/>
          <xsd:enumeration value="Chapter 1: Introduction"/>
          <xsd:enumeration value="Chapter 2: Legal Aspects"/>
          <xsd:enumeration value="Chapter 3: Preliminary Hydraulic Studies"/>
          <xsd:enumeration value="Table of Contents"/>
          <xsd:enumeration value="Chapter 4: Preliminary Roadway Plans"/>
          <xsd:enumeration value="Chapter 5: Field Reconnaissance"/>
          <xsd:enumeration value="Chapter 6: Drainage Plans Development"/>
          <xsd:enumeration value="Chapter 7: Hydrology"/>
          <xsd:enumeration value="Chapter 8: Bridges"/>
          <xsd:enumeration value="Chapter 9: Culverts"/>
          <xsd:enumeration value="Chapter 10: Storm Drain System"/>
          <xsd:enumeration value="Chapter 01: Introduction"/>
          <xsd:enumeration value="Chapter 02: Legal Aspects"/>
          <xsd:enumeration value="Chapter 03: Preliminary Hydraulic Studies"/>
          <xsd:enumeration value="Chapter 04: Preliminary Roadway Plans"/>
          <xsd:enumeration value="Chapter 05: Field Reconnaissance"/>
          <xsd:enumeration value="Chapter 06: Drainage Plans Development"/>
          <xsd:enumeration value="Chapter 07: Hydrology"/>
          <xsd:enumeration value="Chapter 08: Bridges"/>
          <xsd:enumeration value="Chapter 09: Culverts"/>
          <xsd:enumeration value="Chapter 11: Roadside Ditches and Channels"/>
          <xsd:enumeration value="Chapter 12: Erosion and Sediment Control"/>
          <xsd:enumeration value="Chapter 13: Stormwater Management"/>
          <xsd:enumeration value="Chapter 14: Permit Drawings"/>
          <xsd:enumeration value="Chapter 15: Floodplain Management"/>
          <xsd:enumeration value="Chapter 16: References"/>
          <xsd:enumeration value="Chapter 17: Appendices"/>
          <xsd:enumeration value="Chapter 06: Resilience"/>
          <xsd:enumeration value="Chapter 16: Coastal Hydraulic Design"/>
          <xsd:enumeration value="Chapter 00: Title page and Foreword"/>
          <xsd:enumeration value="Chapter 05: Drainage Plans Development"/>
          <xsd:enumeration value="Archived"/>
          <xsd:enumeration value="Current"/>
          <xsd:enumeration value="Chapter 00: Foreword"/>
          <xsd:enumeration value="00: Foreword"/>
          <xsd:enumeration value="01: Introduction"/>
          <xsd:enumeration value="02: Legal Aspects"/>
          <xsd:enumeration value="03: Preliminary Hydraulic Studies"/>
          <xsd:enumeration value="04: Preliminary Roadway Plans"/>
          <xsd:enumeration value="05: Drainage Plans Development"/>
          <xsd:enumeration value="06: Resilience"/>
          <xsd:enumeration value="07: Hydrology"/>
          <xsd:enumeration value="08: Bridges"/>
          <xsd:enumeration value="09: Culverts"/>
          <xsd:enumeration value="10: Storm Drain System"/>
          <xsd:enumeration value="11: Roadside Ditches and Channels"/>
          <xsd:enumeration value="12: Erosion and Sediment Control"/>
          <xsd:enumeration value="13: Stormwater Management"/>
          <xsd:enumeration value="14: Permit Drawings"/>
          <xsd:enumeration value="15: Floodplain Management"/>
          <xsd:enumeration value="16: Coastal Hydraulic Design"/>
          <xsd:enumeration value="00 Foreword"/>
          <xsd:enumeration value="01 Introduction"/>
          <xsd:enumeration value="02 Legal Aspects"/>
          <xsd:enumeration value="03 Preliminary Hydraulic Studies"/>
          <xsd:enumeration value="04 Preliminary Roadway Plans"/>
          <xsd:enumeration value="05 Drainage Plans Development"/>
          <xsd:enumeration value="06 Resilience"/>
          <xsd:enumeration value="07 Hydrology"/>
          <xsd:enumeration value="08 Bridges"/>
          <xsd:enumeration value="09 Culverts"/>
          <xsd:enumeration value="10 Storm Drain System"/>
          <xsd:enumeration value="11 Roadside Ditches and Channels"/>
          <xsd:enumeration value="12 Erosion and Sediment Control"/>
          <xsd:enumeration value="13 Stormwater Management"/>
          <xsd:enumeration value="14 Permit Drawings"/>
          <xsd:enumeration value="15 Floodplain Management"/>
          <xsd:enumeration value="16 Coastal Hydraulic Design"/>
        </xsd:restriction>
      </xsd:simpleType>
    </xsd:element>
    <xsd:element name="DateUpdated" ma:index="2" nillable="true" ma:displayName="Date Updated" ma:format="DateOnly" ma:internalName="DateUpdated">
      <xsd:simpleType>
        <xsd:restriction base="dms:DateTime"/>
      </xsd:simpleType>
    </xsd:element>
    <xsd:element name="SortOrder" ma:index="14" nillable="true" ma:displayName="SortOrder" ma:internalName="SortOrder">
      <xsd:simpleType>
        <xsd:restriction base="dms:Text">
          <xsd:maxLength value="255"/>
        </xsd:restriction>
      </xsd:simpleType>
    </xsd:element>
    <xsd:element name="PageTab" ma:index="15" nillable="true" ma:displayName="PageTab" ma:format="Dropdown" ma:internalName="PageTab">
      <xsd:simpleType>
        <xsd:restriction base="dms:Choice">
          <xsd:enumeration value="Guidelines Additional Documentation"/>
          <xsd:enumeration value="Other Resources"/>
          <xsd:enumeration value="Archived Guidelines"/>
          <xsd:enumeration value="Memos"/>
          <xsd:enumeration value="None"/>
        </xsd:restriction>
      </xsd:simpleType>
    </xsd:element>
    <xsd:element name="ArchivedDate" ma:index="17" nillable="true" ma:displayName="Archived Date" ma:format="Dropdown" ma:internalName="ArchivedDate">
      <xsd:simpleType>
        <xsd:restriction base="dms:Choice">
          <xsd:enumeration value="1973"/>
          <xsd:enumeration value="1999"/>
          <xsd:enumeration value="2015"/>
          <xsd:enumeration value="2016"/>
          <xsd:enumeration value="2022"/>
        </xsd:restriction>
      </xsd:simpleType>
    </xsd:element>
    <xsd:element name="Sidebar" ma:index="18" nillable="true" ma:displayName="Sidebar" ma:format="Dropdown" ma:internalName="Sidebar">
      <xsd:simpleType>
        <xsd:restriction base="dms:Choice">
          <xsd:enumeration value="Yes"/>
          <xsd:enumeration value="No"/>
        </xsd:restriction>
      </xsd:simpleType>
    </xsd:element>
    <xsd:element name="Archived" ma:index="19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089251ca-eae6-47d1-aa1a-9c52540a6454">09 Culverts</Chapter>
    <ArchivedDate xmlns="089251ca-eae6-47d1-aa1a-9c52540a6454" xsi:nil="true"/>
    <IconOverlay xmlns="http://schemas.microsoft.com/sharepoint/v4" xsi:nil="true"/>
    <DateUpdated xmlns="089251ca-eae6-47d1-aa1a-9c52540a6454">2022-02-22T05:00:00+00:00</DateUpdated>
    <URL xmlns="http://schemas.microsoft.com/sharepoint/v3">
      <Url xsi:nil="true"/>
      <Description xsi:nil="true"/>
    </URL>
    <SortOrder xmlns="089251ca-eae6-47d1-aa1a-9c52540a6454">2</SortOrder>
    <PageTab xmlns="089251ca-eae6-47d1-aa1a-9c52540a6454">Guidelines Additional Documentation</PageTab>
    <Sidebar xmlns="089251ca-eae6-47d1-aa1a-9c52540a6454" xsi:nil="true"/>
    <Archived xmlns="089251ca-eae6-47d1-aa1a-9c52540a6454" xsi:nil="true"/>
  </documentManagement>
</p:properties>
</file>

<file path=customXml/itemProps1.xml><?xml version="1.0" encoding="utf-8"?>
<ds:datastoreItem xmlns:ds="http://schemas.openxmlformats.org/officeDocument/2006/customXml" ds:itemID="{3D9D3EBE-9391-4B0B-A642-91906EAFC338}"/>
</file>

<file path=customXml/itemProps2.xml><?xml version="1.0" encoding="utf-8"?>
<ds:datastoreItem xmlns:ds="http://schemas.openxmlformats.org/officeDocument/2006/customXml" ds:itemID="{8DEFCAF4-AD84-4BEF-AA23-F5F9CC294D45}"/>
</file>

<file path=customXml/itemProps3.xml><?xml version="1.0" encoding="utf-8"?>
<ds:datastoreItem xmlns:ds="http://schemas.openxmlformats.org/officeDocument/2006/customXml" ds:itemID="{BA00BA8D-4F1A-41EC-9491-22BA69E9D3BD}"/>
</file>

<file path=customXml/itemProps4.xml><?xml version="1.0" encoding="utf-8"?>
<ds:datastoreItem xmlns:ds="http://schemas.openxmlformats.org/officeDocument/2006/customXml" ds:itemID="{9B70D769-8AA3-4CA7-B2AE-D950E7B01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PIPE DATA SHEET</vt:lpstr>
      <vt:lpstr>HYDROLOGY</vt:lpstr>
      <vt:lpstr>Pipe Data Table</vt:lpstr>
      <vt:lpstr>Tc</vt:lpstr>
      <vt:lpstr>Pre &amp; Post For RR</vt:lpstr>
      <vt:lpstr>L</vt:lpstr>
      <vt:lpstr>n</vt:lpstr>
      <vt:lpstr>p</vt:lpstr>
      <vt:lpstr>HYDROLOGY!Print_Area</vt:lpstr>
      <vt:lpstr>'PIPE DATA SHEET'!Print_Area</vt:lpstr>
      <vt:lpstr>'Pre &amp; Post For RR'!Print_Area</vt:lpstr>
      <vt:lpstr>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 Data Sheet</dc:title>
  <dc:creator>Hydraulics Unit</dc:creator>
  <cp:lastModifiedBy>Brian M. Radakovic</cp:lastModifiedBy>
  <cp:lastPrinted>2016-10-14T17:34:00Z</cp:lastPrinted>
  <dcterms:created xsi:type="dcterms:W3CDTF">2003-09-17T18:08:34Z</dcterms:created>
  <dcterms:modified xsi:type="dcterms:W3CDTF">2022-02-14T13:43:07Z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0x01010069DB2F5E96AE574AA9EBBFF85A791822</vt:lpwstr>
  </property>
  <property fmtid="{D5CDD505-2E9C-101B-9397-08002B2CF9AE}" pid="3" name="Order">
    <vt:r8>8500</vt:r8>
  </property>
</Properties>
</file>